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695" windowWidth="7725" windowHeight="6210" tabRatio="749" activeTab="1"/>
  </bookViews>
  <sheets>
    <sheet name="PostDec19" sheetId="1" r:id="rId1"/>
    <sheet name="Jan20" sheetId="2" r:id="rId2"/>
    <sheet name="Feb20" sheetId="3" r:id="rId3"/>
    <sheet name="Mar20" sheetId="4" r:id="rId4"/>
    <sheet name="ConvertedTB" sheetId="5" r:id="rId5"/>
    <sheet name="DetSFPerf 1st Qtr" sheetId="6" r:id="rId6"/>
    <sheet name="ConSFPerf 1stQtr" sheetId="7" r:id="rId7"/>
    <sheet name="DetSFP 1st Qtr" sheetId="8" r:id="rId8"/>
    <sheet name="ConSFP 1st Qtr" sheetId="9" r:id="rId9"/>
    <sheet name="SCNAE 1st Qtr" sheetId="10" r:id="rId10"/>
    <sheet name="CF 1st Qtr" sheetId="11" r:id="rId11"/>
    <sheet name="Apr20" sheetId="12" r:id="rId12"/>
    <sheet name="May20" sheetId="13" r:id="rId13"/>
    <sheet name="Jun20" sheetId="14" r:id="rId14"/>
    <sheet name="ConvertedTB 2QTR" sheetId="15" r:id="rId15"/>
    <sheet name="DetSFPerf 2nd Qtr" sheetId="16" r:id="rId16"/>
    <sheet name="ConSFPerf 2nd Qtr" sheetId="17" r:id="rId17"/>
    <sheet name="DetSFP 2nd Qtr" sheetId="18" r:id="rId18"/>
    <sheet name="ConSFP 2nd Qtr" sheetId="19" r:id="rId19"/>
    <sheet name="SCNAE 2nd Qtr" sheetId="20" r:id="rId20"/>
    <sheet name="CF 2QTR" sheetId="21" r:id="rId21"/>
    <sheet name="SCBAA 2nd Qtr" sheetId="22" r:id="rId22"/>
    <sheet name="Jul20" sheetId="23" r:id="rId23"/>
    <sheet name="Aug20" sheetId="24" r:id="rId24"/>
    <sheet name="Sep20" sheetId="25" r:id="rId25"/>
    <sheet name="Converted TB-3rd Qtr" sheetId="26" r:id="rId26"/>
    <sheet name="DetSFPerf-3rd Qtr" sheetId="27" r:id="rId27"/>
    <sheet name="ConSFPerf-3rd Qtr" sheetId="28" r:id="rId28"/>
    <sheet name="DetSFP-3rd Qtr" sheetId="29" r:id="rId29"/>
    <sheet name="ConSFP- 3rd Qtr" sheetId="30" r:id="rId30"/>
    <sheet name="SCNAE-3rd Qtr" sheetId="31" r:id="rId31"/>
    <sheet name="CF-3rd Qtr" sheetId="32" r:id="rId32"/>
    <sheet name="Oct20" sheetId="33" r:id="rId33"/>
    <sheet name="Nov20" sheetId="34" r:id="rId34"/>
    <sheet name="Dec20" sheetId="35" r:id="rId35"/>
    <sheet name="TB-4th Qtr" sheetId="36" r:id="rId36"/>
    <sheet name="DetSFPerf-4th Qtr" sheetId="37" r:id="rId37"/>
    <sheet name="ConSFPerf" sheetId="38" r:id="rId38"/>
    <sheet name="DetSFP 4th Qtr" sheetId="39" r:id="rId39"/>
    <sheet name="ConSFP 4th Qtr" sheetId="40" r:id="rId40"/>
    <sheet name="Govt Equity" sheetId="41" r:id="rId41"/>
    <sheet name="SCF 4th Qtr" sheetId="42" r:id="rId42"/>
    <sheet name="SCBAA RO" sheetId="43" r:id="rId43"/>
    <sheet name="Sheet15" sheetId="44" r:id="rId44"/>
    <sheet name="SCBAA" sheetId="45" r:id="rId45"/>
  </sheets>
  <externalReferences>
    <externalReference r:id="rId48"/>
  </externalReferences>
  <definedNames>
    <definedName name="Excel_BuiltIn_Print_Area_10_1">#REF!</definedName>
    <definedName name="Excel_BuiltIn_Print_Area_11_1">#REF!</definedName>
    <definedName name="Excel_BuiltIn_Print_Area_9_1">#REF!</definedName>
    <definedName name="_xlnm.Print_Area" localSheetId="11">'Apr20'!$A$1:$P$165</definedName>
    <definedName name="_xlnm.Print_Area" localSheetId="23">'Aug20'!$A$1:$P$165</definedName>
    <definedName name="_xlnm.Print_Area" localSheetId="39">'ConSFP 4th Qtr'!$A$1:$G$55</definedName>
    <definedName name="_xlnm.Print_Area" localSheetId="37">'ConSFPerf'!$A$1:$E$28</definedName>
    <definedName name="_xlnm.Print_Area" localSheetId="16">'ConSFPerf 2nd Qtr'!$A$1:$E$28</definedName>
    <definedName name="_xlnm.Print_Area" localSheetId="25">'Converted TB-3rd Qtr'!$A$1:$P$155</definedName>
    <definedName name="_xlnm.Print_Area" localSheetId="4">'ConvertedTB'!$A$1:$P$163</definedName>
    <definedName name="_xlnm.Print_Area" localSheetId="14">'ConvertedTB 2QTR'!$A$1:$D$127</definedName>
    <definedName name="_xlnm.Print_Area" localSheetId="34">'Dec20'!$A$1:$P$163</definedName>
    <definedName name="_xlnm.Print_Area" localSheetId="38">'DetSFP 4th Qtr'!$A$1:$F$161</definedName>
    <definedName name="_xlnm.Print_Area" localSheetId="15">'DetSFPerf 2nd Qtr'!$A$1:$E$152</definedName>
    <definedName name="_xlnm.Print_Area" localSheetId="36">'DetSFPerf-4th Qtr'!$A$1:$E$168</definedName>
    <definedName name="_xlnm.Print_Area" localSheetId="2">'Feb20'!$A$1:$P$165</definedName>
    <definedName name="_xlnm.Print_Area" localSheetId="40">'Govt Equity'!$A$1:$E$30</definedName>
    <definedName name="_xlnm.Print_Area" localSheetId="1">'Jan20'!$A$1:$P$163</definedName>
    <definedName name="_xlnm.Print_Area" localSheetId="22">'Jul20'!$A$1:$P$165</definedName>
    <definedName name="_xlnm.Print_Area" localSheetId="13">'Jun20'!$A$1:$P$165</definedName>
    <definedName name="_xlnm.Print_Area" localSheetId="3">'Mar20'!$A$1:$P$165</definedName>
    <definedName name="_xlnm.Print_Area" localSheetId="12">'May20'!$A$1:$P$165</definedName>
    <definedName name="_xlnm.Print_Area" localSheetId="33">'Nov20'!$A$1:$P$164</definedName>
    <definedName name="_xlnm.Print_Area" localSheetId="32">'Oct20'!$A$1:$P$164</definedName>
    <definedName name="_xlnm.Print_Area" localSheetId="0">'PostDec19'!$A$1:$D$64</definedName>
    <definedName name="_xlnm.Print_Area" localSheetId="44">'SCBAA'!$A$1:$W$35</definedName>
    <definedName name="_xlnm.Print_Area" localSheetId="42">'SCBAA RO'!$A$1:$E$34</definedName>
    <definedName name="_xlnm.Print_Area" localSheetId="41">'SCF 4th Qtr'!$A$1:$H$207</definedName>
    <definedName name="_xlnm.Print_Area" localSheetId="24">'Sep20'!$A$1:$P$165</definedName>
    <definedName name="_xlnm.Print_Area" localSheetId="35">'TB-4th Qtr'!$A$1:$H$163</definedName>
    <definedName name="_xlnm.Print_Titles" localSheetId="11">'Apr20'!$10:$11</definedName>
    <definedName name="_xlnm.Print_Titles" localSheetId="4">'ConvertedTB'!$10:$11</definedName>
    <definedName name="_xlnm.Print_Titles" localSheetId="14">'ConvertedTB 2QTR'!$10:$11</definedName>
    <definedName name="_xlnm.Print_Titles" localSheetId="34">'Dec20'!$10:$11</definedName>
    <definedName name="_xlnm.Print_Titles" localSheetId="2">'Feb20'!$10:$11</definedName>
    <definedName name="_xlnm.Print_Titles" localSheetId="1">'Jan20'!$10:$11</definedName>
    <definedName name="_xlnm.Print_Titles" localSheetId="22">'Jul20'!$10:$11</definedName>
    <definedName name="_xlnm.Print_Titles" localSheetId="13">'Jun20'!$10:$11</definedName>
    <definedName name="_xlnm.Print_Titles" localSheetId="3">'Mar20'!$10:$11</definedName>
    <definedName name="_xlnm.Print_Titles" localSheetId="12">'May20'!$10:$11</definedName>
    <definedName name="_xlnm.Print_Titles" localSheetId="33">'Nov20'!$10:$11</definedName>
    <definedName name="_xlnm.Print_Titles" localSheetId="32">'Oct20'!$10:$11</definedName>
    <definedName name="_xlnm.Print_Titles" localSheetId="24">'Sep20'!$10:$11</definedName>
  </definedNames>
  <calcPr fullCalcOnLoad="1"/>
</workbook>
</file>

<file path=xl/sharedStrings.xml><?xml version="1.0" encoding="utf-8"?>
<sst xmlns="http://schemas.openxmlformats.org/spreadsheetml/2006/main" count="7818" uniqueCount="822">
  <si>
    <t>Annex F-1-.1</t>
  </si>
  <si>
    <t>TECHNICAL EDUCATION AND SKILLS DEVELOPMENT AUTHORITY - MIMAROPA</t>
  </si>
  <si>
    <t>Fund 101</t>
  </si>
  <si>
    <t>(RA Books)</t>
  </si>
  <si>
    <t>Account</t>
  </si>
  <si>
    <t>Particulars</t>
  </si>
  <si>
    <t>Code</t>
  </si>
  <si>
    <t>Debit</t>
  </si>
  <si>
    <t>Credit</t>
  </si>
  <si>
    <t>ASSETS</t>
  </si>
  <si>
    <t>Cash in Bank - Local Currency, Current Account</t>
  </si>
  <si>
    <t>Office Supplies Inventory</t>
  </si>
  <si>
    <t>Office Equipment</t>
  </si>
  <si>
    <t>Furniture and Fixtures</t>
  </si>
  <si>
    <t xml:space="preserve">   Accumulated Depreciation - Furniture &amp; Fixtures</t>
  </si>
  <si>
    <t>Other Assets</t>
  </si>
  <si>
    <t>LIABILITIES</t>
  </si>
  <si>
    <t>Other Payables</t>
  </si>
  <si>
    <t>Government Equity</t>
  </si>
  <si>
    <t>EXPENSES</t>
  </si>
  <si>
    <t>Personnel Economic Relief Allowance (PERA)</t>
  </si>
  <si>
    <t>Representation Allowance (RA)</t>
  </si>
  <si>
    <t>Transportation Allowance (TA)</t>
  </si>
  <si>
    <t>Other Maintenance and Operating Expenses</t>
  </si>
  <si>
    <t>TOTAL</t>
  </si>
  <si>
    <t>Certified Correct:</t>
  </si>
  <si>
    <t>Acting Accountant</t>
  </si>
  <si>
    <t>Training Expenses</t>
  </si>
  <si>
    <t>Traveling Expenses - Local</t>
  </si>
  <si>
    <t>Postage and Deliveries</t>
  </si>
  <si>
    <t>Auditing Services</t>
  </si>
  <si>
    <t>Accounts Payable</t>
  </si>
  <si>
    <t>EQUITY</t>
  </si>
  <si>
    <t>Life and Retirement Insurance Contributions</t>
  </si>
  <si>
    <t>PAG-IBIG Contributions</t>
  </si>
  <si>
    <t>PHILHEALTH Contributions</t>
  </si>
  <si>
    <t>ECC Contributions</t>
  </si>
  <si>
    <t>Water Expenses</t>
  </si>
  <si>
    <t>Advertising Expenses</t>
  </si>
  <si>
    <t>Communication Equipment</t>
  </si>
  <si>
    <t xml:space="preserve">   Accumulated Depreciation - Communication Equipment</t>
  </si>
  <si>
    <t>Motor Vehicles</t>
  </si>
  <si>
    <t xml:space="preserve">   Accumulated Depreciation - Motor Vehicles</t>
  </si>
  <si>
    <t>Electricity Expenses</t>
  </si>
  <si>
    <t>Trial Balance</t>
  </si>
  <si>
    <t>Due to GSIS</t>
  </si>
  <si>
    <t>Due to BIR</t>
  </si>
  <si>
    <t>Due to Philhealth</t>
  </si>
  <si>
    <t>CRJ</t>
  </si>
  <si>
    <t>CkDJ</t>
  </si>
  <si>
    <t>GJ</t>
  </si>
  <si>
    <t>Cable, Satellite,Telegraph &amp; Radio Expenses</t>
  </si>
  <si>
    <t>Prepaid Rent</t>
  </si>
  <si>
    <t>Rent Expenses</t>
  </si>
  <si>
    <t>CDJ</t>
  </si>
  <si>
    <t>Noted by:</t>
  </si>
  <si>
    <t>Accountable Forms Expense</t>
  </si>
  <si>
    <t>Trust Fund</t>
  </si>
  <si>
    <t>Due to Pag-Ibig</t>
  </si>
  <si>
    <t>Due to GOCCs</t>
  </si>
  <si>
    <t>Advances to Officers and Employees</t>
  </si>
  <si>
    <t>Offcie Supplies Expense</t>
  </si>
  <si>
    <t>Printing and Binding Expenses</t>
  </si>
  <si>
    <t>Transportation and Delivery Expenses</t>
  </si>
  <si>
    <t>Repair &amp; Maintenance-Furnitures and Fixtures</t>
  </si>
  <si>
    <t>Security Services</t>
  </si>
  <si>
    <t>Productivity Incentive Allowance</t>
  </si>
  <si>
    <t>Clothing / Uniform Allowance</t>
  </si>
  <si>
    <t>Membership Dues and Contribution to Organization</t>
  </si>
  <si>
    <t>Fidelity Bond Premiums</t>
  </si>
  <si>
    <t>Other Bonuses and Allowances</t>
  </si>
  <si>
    <t>Legal Services</t>
  </si>
  <si>
    <t>Other Professional Services</t>
  </si>
  <si>
    <t>Insurance Expense</t>
  </si>
  <si>
    <t>Luna Bldg III, Infantado St., Calapan City</t>
  </si>
  <si>
    <t>Cash Gift</t>
  </si>
  <si>
    <t>Year-end Bonuses</t>
  </si>
  <si>
    <t>Depreciation Expense - Furniture &amp; Fixture</t>
  </si>
  <si>
    <t>Depreciation Expense - IT Equipment &amp; Software</t>
  </si>
  <si>
    <t>Depreciation Expense - Communication Equipment</t>
  </si>
  <si>
    <t>Depreciation Expense - Fire Fighting Equipment</t>
  </si>
  <si>
    <t>Depreciation Expense - Motor Vehicle</t>
  </si>
  <si>
    <t>Depreciation Expense - Other PPE</t>
  </si>
  <si>
    <t>Current Assets</t>
  </si>
  <si>
    <t>Receivables</t>
  </si>
  <si>
    <t>Inventories</t>
  </si>
  <si>
    <t>Property, Plant and Equipment</t>
  </si>
  <si>
    <t>TOTAL ASSETS</t>
  </si>
  <si>
    <t>Liabilities</t>
  </si>
  <si>
    <t>Current Liabilities</t>
  </si>
  <si>
    <t>Equity</t>
  </si>
  <si>
    <t>CONDENSED STATEMENT OF  INCOME AND EXPENSES</t>
  </si>
  <si>
    <t>Personal Services</t>
  </si>
  <si>
    <t>Maintenance and Other Operating Expenses</t>
  </si>
  <si>
    <t>CONDENSED BALANCE SHEET</t>
  </si>
  <si>
    <t>STATEMENT OF GOVERNMENT EQUITY</t>
  </si>
  <si>
    <t>STATEMENT OF  CASH FLOWS</t>
  </si>
  <si>
    <t>Total Cash Inflows</t>
  </si>
  <si>
    <t>Terminal Leave Benefits</t>
  </si>
  <si>
    <t>Total Cash Outflows</t>
  </si>
  <si>
    <t>1-01-01-020</t>
  </si>
  <si>
    <t>Petty Cash</t>
  </si>
  <si>
    <t>1-01-04-040</t>
  </si>
  <si>
    <t>Cash - MDS, Regular</t>
  </si>
  <si>
    <t>1-01-02-020</t>
  </si>
  <si>
    <t>1-04-04-010</t>
  </si>
  <si>
    <t>1-04-04-020</t>
  </si>
  <si>
    <t>1-04-04-990</t>
  </si>
  <si>
    <t>Accountable Forms, Plates and Stickers Inventory</t>
  </si>
  <si>
    <t>Other Supplies and Materials Inventory</t>
  </si>
  <si>
    <t>1-99-02-020</t>
  </si>
  <si>
    <t>1-06-05-020</t>
  </si>
  <si>
    <t>1-06-05-021</t>
  </si>
  <si>
    <t>1-06-05-030</t>
  </si>
  <si>
    <t xml:space="preserve">Information and Communication Technology Equipment </t>
  </si>
  <si>
    <t xml:space="preserve">   Accumulated Depreciation - I &amp; C Technology Equipment</t>
  </si>
  <si>
    <t>1-06-05-071</t>
  </si>
  <si>
    <t>1-06-05-070</t>
  </si>
  <si>
    <t>1-06-07-010</t>
  </si>
  <si>
    <t>1-06-07-011</t>
  </si>
  <si>
    <t xml:space="preserve">   Accumulated Depreciaton - Office Equipment</t>
  </si>
  <si>
    <t>1-06-05-031</t>
  </si>
  <si>
    <t xml:space="preserve">   Accumulated Depreciation - DRRE</t>
  </si>
  <si>
    <t>Disaster Response &amp; Rescue Equipment</t>
  </si>
  <si>
    <t>1-06-05-090</t>
  </si>
  <si>
    <t>1-06-05-091</t>
  </si>
  <si>
    <t>1-06-06-010</t>
  </si>
  <si>
    <t>1-06-06-011</t>
  </si>
  <si>
    <t>Other Machinery and Equipment</t>
  </si>
  <si>
    <t xml:space="preserve">   Accumulated Depreciation - Other M &amp; E</t>
  </si>
  <si>
    <t>1-06-05-990</t>
  </si>
  <si>
    <t>1-06-05-991</t>
  </si>
  <si>
    <t>1-99-99-990</t>
  </si>
  <si>
    <t>2-01-01-010</t>
  </si>
  <si>
    <t>2-02-01-010</t>
  </si>
  <si>
    <t>2-02-01-020</t>
  </si>
  <si>
    <t>2-02-01-030</t>
  </si>
  <si>
    <t>2-02-01-040</t>
  </si>
  <si>
    <t>2-02-01-060</t>
  </si>
  <si>
    <t>2-99-99-990</t>
  </si>
  <si>
    <t>3-01-01-010</t>
  </si>
  <si>
    <t>4-03-01-010</t>
  </si>
  <si>
    <t>Subsidy from National Government</t>
  </si>
  <si>
    <t>Salaries and Wages - Regular</t>
  </si>
  <si>
    <t>5-01-01-010</t>
  </si>
  <si>
    <t>5-01-02-010</t>
  </si>
  <si>
    <t>5-01-02-020</t>
  </si>
  <si>
    <t>5-01-02-030</t>
  </si>
  <si>
    <t>5-01-02-050</t>
  </si>
  <si>
    <t>Subsistence Allowance</t>
  </si>
  <si>
    <t>5-01-02-080</t>
  </si>
  <si>
    <t>5-01-02-990</t>
  </si>
  <si>
    <t>5-01-02-150</t>
  </si>
  <si>
    <t>5-01-02-140</t>
  </si>
  <si>
    <t>5-01-03-010</t>
  </si>
  <si>
    <t>5-01-03-020</t>
  </si>
  <si>
    <t>5-01-03-030</t>
  </si>
  <si>
    <t>5-01-03-040</t>
  </si>
  <si>
    <t>5-02-01-010</t>
  </si>
  <si>
    <t>5-02-02-010</t>
  </si>
  <si>
    <t>Scholarship Grants / Expenses</t>
  </si>
  <si>
    <t>5-02-02-020</t>
  </si>
  <si>
    <t>5-02-03-010</t>
  </si>
  <si>
    <t>5-02-03-020</t>
  </si>
  <si>
    <t>Fuel, Oil and Lubricants</t>
  </si>
  <si>
    <t>5-02-03-090</t>
  </si>
  <si>
    <t>Other Supplies and Materials Expenses</t>
  </si>
  <si>
    <t>5-02-03-990</t>
  </si>
  <si>
    <t>5-02-04-010</t>
  </si>
  <si>
    <t>5-02-04-020</t>
  </si>
  <si>
    <t>5-02-05-010</t>
  </si>
  <si>
    <t>Internet Subscription Expenses</t>
  </si>
  <si>
    <t>5-02-05-030</t>
  </si>
  <si>
    <t>5-02-05-040</t>
  </si>
  <si>
    <t>5-02-99-060</t>
  </si>
  <si>
    <t>5-02-99-010</t>
  </si>
  <si>
    <t>5-02-99-020</t>
  </si>
  <si>
    <t>5-02-99-040</t>
  </si>
  <si>
    <t>5-02-11-010</t>
  </si>
  <si>
    <t>5-02-11-020</t>
  </si>
  <si>
    <t>Other General Servcies</t>
  </si>
  <si>
    <t>5-02-12-990</t>
  </si>
  <si>
    <t>5-02-11-990</t>
  </si>
  <si>
    <t>5-02-12-030</t>
  </si>
  <si>
    <t>Repair &amp; Maintenance-Buildings and Other Structures</t>
  </si>
  <si>
    <t>5-02-13-040</t>
  </si>
  <si>
    <t>Repair &amp; Maintenance-Machinery and Equipment</t>
  </si>
  <si>
    <t>5-02-13-070</t>
  </si>
  <si>
    <t>Repair &amp; Maintenance-Transportation Equipment</t>
  </si>
  <si>
    <t>5-02-13-060</t>
  </si>
  <si>
    <t>5-02-10-030</t>
  </si>
  <si>
    <t>5-02-15-020</t>
  </si>
  <si>
    <t>5-02-15-030</t>
  </si>
  <si>
    <t>Extraordinary &amp; Miscellaneous Expenses</t>
  </si>
  <si>
    <t>Mobile Expenses</t>
  </si>
  <si>
    <t>Telephone Expense</t>
  </si>
  <si>
    <t>5-02-05-020 01</t>
  </si>
  <si>
    <t>5-02-05-020 02</t>
  </si>
  <si>
    <t>Consultancy Services</t>
  </si>
  <si>
    <t>5-02-11-030</t>
  </si>
  <si>
    <t>1-99-01-030</t>
  </si>
  <si>
    <t>Advances to Special Disbursing Officer</t>
  </si>
  <si>
    <t>Advances to Officer and Employees</t>
  </si>
  <si>
    <t>1-99-01-040</t>
  </si>
  <si>
    <t>5-02-13-050 01</t>
  </si>
  <si>
    <t>5-02-13-050 02</t>
  </si>
  <si>
    <t>5-02-13-050 03</t>
  </si>
  <si>
    <t>5-01-04-990 99</t>
  </si>
  <si>
    <t>Other Personnel Benefits</t>
  </si>
  <si>
    <t>1-99-01-010</t>
  </si>
  <si>
    <t>Accountant</t>
  </si>
  <si>
    <t>Taxes, Duties and Licenses</t>
  </si>
  <si>
    <t>5-02-15-010</t>
  </si>
  <si>
    <t>Advances for Operating Expenses</t>
  </si>
  <si>
    <t>Depreciation Expense - Office Equipment</t>
  </si>
  <si>
    <t>Fund 101101</t>
  </si>
  <si>
    <t>Office Supplies Expense</t>
  </si>
  <si>
    <t>Drugs and Medicine Expenses</t>
  </si>
  <si>
    <t>5-02-03-070</t>
  </si>
  <si>
    <t>Repair &amp; Maintenance-Office Equipment</t>
  </si>
  <si>
    <t>Repair &amp; Maintenance-ICT Equipment</t>
  </si>
  <si>
    <t>Honoraria</t>
  </si>
  <si>
    <t>MARIA LORENA B. CUENCA</t>
  </si>
  <si>
    <t>CARLOS C. FLORES, CESO IV</t>
  </si>
  <si>
    <t>Regional Director</t>
  </si>
  <si>
    <t>Property and Equipment for Distribution</t>
  </si>
  <si>
    <t>1-04-02-090</t>
  </si>
  <si>
    <t>5-02-13-060 01</t>
  </si>
  <si>
    <t>Pre-Closing Trial Balance</t>
  </si>
  <si>
    <t>Repair &amp; Maintenance-Motor Vehicles</t>
  </si>
  <si>
    <t>1-01-04-010</t>
  </si>
  <si>
    <t>1-04-05-030</t>
  </si>
  <si>
    <t>5-02-14-080</t>
  </si>
  <si>
    <t>Subsidy to Operating Units</t>
  </si>
  <si>
    <t>5-01-02-140 01</t>
  </si>
  <si>
    <t>5-02-03-220 01</t>
  </si>
  <si>
    <t>5-02-01-020</t>
  </si>
  <si>
    <t>5-02-99-070</t>
  </si>
  <si>
    <t>Semi-expendable Information &amp; Comm. Technology Equip.</t>
  </si>
  <si>
    <t>Semi-Expendable Office Equipment</t>
  </si>
  <si>
    <t>1-04-05-020</t>
  </si>
  <si>
    <t>Semi-Expendable Furnitures &amp; Fixtures</t>
  </si>
  <si>
    <t>Bonus-Civilian</t>
  </si>
  <si>
    <t>Traveling Expenses-Foreign</t>
  </si>
  <si>
    <t>Subscription Expenses</t>
  </si>
  <si>
    <t>Bank Charges</t>
  </si>
  <si>
    <t>DETAILED STATEMENT OF  FINANCIAL PERFORMANCE</t>
  </si>
  <si>
    <t>Revenue</t>
  </si>
  <si>
    <t>Total Revenue</t>
  </si>
  <si>
    <r>
      <t xml:space="preserve">Less: </t>
    </r>
    <r>
      <rPr>
        <b/>
        <u val="single"/>
        <sz val="10"/>
        <color indexed="8"/>
        <rFont val="Calibri"/>
        <family val="2"/>
      </rPr>
      <t>Current Operating</t>
    </r>
    <r>
      <rPr>
        <b/>
        <u val="single"/>
        <sz val="10"/>
        <color indexed="8"/>
        <rFont val="Calibri"/>
        <family val="2"/>
      </rPr>
      <t xml:space="preserve"> Expenses</t>
    </r>
  </si>
  <si>
    <t>Personnel Services</t>
  </si>
  <si>
    <t xml:space="preserve">Salaries and Wages </t>
  </si>
  <si>
    <t>Total Salaries and Wages</t>
  </si>
  <si>
    <t>Total Other Compensation</t>
  </si>
  <si>
    <t>Personnel Benefits Contributions</t>
  </si>
  <si>
    <t>Retirement and Life Insurance Premiums</t>
  </si>
  <si>
    <t>Employees Compensation Insurance Premiums</t>
  </si>
  <si>
    <t>Total Personnel Benefits Contributions</t>
  </si>
  <si>
    <t>Total Other Personnel Benefits</t>
  </si>
  <si>
    <t>Total Personnel Services</t>
  </si>
  <si>
    <t>Traveling Expenses</t>
  </si>
  <si>
    <t>Total Traveling Expenses</t>
  </si>
  <si>
    <t>Training and Scholarship Expenses</t>
  </si>
  <si>
    <t>Scholarship Grants/Expenses</t>
  </si>
  <si>
    <t>Total Training and Scholarship Expenses</t>
  </si>
  <si>
    <t>Supplies and Materials Expenses</t>
  </si>
  <si>
    <t>Total Supplies and Materials Expenses</t>
  </si>
  <si>
    <t>Utility Expenses</t>
  </si>
  <si>
    <t>Total Utility Expenses</t>
  </si>
  <si>
    <t>Communication Expenses</t>
  </si>
  <si>
    <t xml:space="preserve">Mobile </t>
  </si>
  <si>
    <t xml:space="preserve">Landline </t>
  </si>
  <si>
    <t xml:space="preserve"> Total Communication Expenses</t>
  </si>
  <si>
    <t>Confidential, Intelligence and Extraordinary Expenses</t>
  </si>
  <si>
    <t>Total Confidential, Intelligence and Extraordinary Expenses</t>
  </si>
  <si>
    <t>Professional Services</t>
  </si>
  <si>
    <t xml:space="preserve"> Total Professional Services</t>
  </si>
  <si>
    <t>Repairs and Maintenance</t>
  </si>
  <si>
    <t>Total Repairs and Maintenance</t>
  </si>
  <si>
    <t>Financial Assistance/Subsidy</t>
  </si>
  <si>
    <t>Total Financial Assistance/Subsidy</t>
  </si>
  <si>
    <t>Taxes, Insurance Premiums and Other Fees</t>
  </si>
  <si>
    <t>Total Taxes, Insurance Premiums and Other Fees</t>
  </si>
  <si>
    <t>Total Other Maintenance and Operating Expenses</t>
  </si>
  <si>
    <t>Financial Expenses</t>
  </si>
  <si>
    <t>Non-Cash Expenses</t>
  </si>
  <si>
    <t>Total Financial Expenses</t>
  </si>
  <si>
    <t>Total Non-Cash Expenses</t>
  </si>
  <si>
    <t>Total Current Operating Expenses</t>
  </si>
  <si>
    <t>Current Operating Expenses</t>
  </si>
  <si>
    <t>Surplus/(Deficit) from Current Operations</t>
  </si>
  <si>
    <t>Financial Assistance/Subsidy from NGAs, LGUs, GOCCs</t>
  </si>
  <si>
    <t>Net Financial Assistance/Subsidy</t>
  </si>
  <si>
    <t>Surplus/(Deficit) for the Period</t>
  </si>
  <si>
    <t>Less Current Operating Expenses:</t>
  </si>
  <si>
    <t>DETAILED STATEMENT OF FINANCIAL POSITION</t>
  </si>
  <si>
    <t>Cash and Cash Equivalents</t>
  </si>
  <si>
    <t>Cash on Hand</t>
  </si>
  <si>
    <t>Cash in Bank-Local Currency</t>
  </si>
  <si>
    <t>Cash in Bank-Local Currency, Current Account</t>
  </si>
  <si>
    <t>Treasury/Agency Cash Accounts</t>
  </si>
  <si>
    <t>Cash- Modified Disbursement System (MDS), Regular</t>
  </si>
  <si>
    <t>Investments</t>
  </si>
  <si>
    <t>Inventory Held for Distribution</t>
  </si>
  <si>
    <t>Inventory Held for Consumption</t>
  </si>
  <si>
    <t>Semi-Expendable Machinery and Equipment</t>
  </si>
  <si>
    <t xml:space="preserve">Semi-Expendable Office Equipment </t>
  </si>
  <si>
    <t>Semi-Expendable Information and Communications Technology  Equipment</t>
  </si>
  <si>
    <t>Other Current Assets</t>
  </si>
  <si>
    <t>Advances</t>
  </si>
  <si>
    <t>Advances to Special Disbursing Officers</t>
  </si>
  <si>
    <t>Prepayments</t>
  </si>
  <si>
    <t>Prepaid Registration</t>
  </si>
  <si>
    <t>Prepaid Interest</t>
  </si>
  <si>
    <t>Prepaid Insurance</t>
  </si>
  <si>
    <t>Other Prepayments</t>
  </si>
  <si>
    <t>Total Current Assets</t>
  </si>
  <si>
    <t>Non-Current Assets</t>
  </si>
  <si>
    <t>Investment Property</t>
  </si>
  <si>
    <t>Net Value</t>
  </si>
  <si>
    <t>Accumulated Depreciation-Office Equipment</t>
  </si>
  <si>
    <t>Accumulated Impairment Losses-Office Equipment</t>
  </si>
  <si>
    <t xml:space="preserve">Information and Communication Technology  Equipment </t>
  </si>
  <si>
    <t>Accumulated Depreciation-Information and Communication</t>
  </si>
  <si>
    <t xml:space="preserve">Technology  Equipment </t>
  </si>
  <si>
    <t>Accumulated Impairment Losses-Information and Communication</t>
  </si>
  <si>
    <t>Accumulated Depreciation-Communication Equipment</t>
  </si>
  <si>
    <t>Accumulated Impairment Losses-Communication Equipment</t>
  </si>
  <si>
    <t xml:space="preserve">Furniture, Fixtures and Books  </t>
  </si>
  <si>
    <t xml:space="preserve">Furniture and Fixtures </t>
  </si>
  <si>
    <t>Accumulated Depreciation-Furniture and Fixtures</t>
  </si>
  <si>
    <t>Accumulated Impairment Losses-Furniture and Fixtures</t>
  </si>
  <si>
    <t>Other Property, Plant and Equipment</t>
  </si>
  <si>
    <t>Biological Assets</t>
  </si>
  <si>
    <t>Intangible Assets</t>
  </si>
  <si>
    <t>Other Non-Current Assets</t>
  </si>
  <si>
    <t>Accumulated Impairment Losses-Other Assets</t>
  </si>
  <si>
    <t>Total Non-Current Assets</t>
  </si>
  <si>
    <t xml:space="preserve">LIABILITIES </t>
  </si>
  <si>
    <t xml:space="preserve">Financial  Liabilities </t>
  </si>
  <si>
    <t>Payables</t>
  </si>
  <si>
    <t>Inter-Agency Payables</t>
  </si>
  <si>
    <t>Due to Pag-IBIG</t>
  </si>
  <si>
    <t>Due to PhilHealth</t>
  </si>
  <si>
    <t>Trust Liabilities</t>
  </si>
  <si>
    <t>Deferred Credits/Unearned Income</t>
  </si>
  <si>
    <t>Provisions</t>
  </si>
  <si>
    <t>Total Current Liabilities</t>
  </si>
  <si>
    <t>Total Liabilities</t>
  </si>
  <si>
    <t>Total Assets less Total Liabilities</t>
  </si>
  <si>
    <t>Net Assets/Equity</t>
  </si>
  <si>
    <t>Accumulated Surplus/(Deficit)</t>
  </si>
  <si>
    <t>Unrealized Gain/(Loss)</t>
  </si>
  <si>
    <t>Unrealized Gain/(Loss) from Changes in the Fair Value of Financial Assets</t>
  </si>
  <si>
    <t>Total Net Assets/Equity</t>
  </si>
  <si>
    <t>xxx</t>
  </si>
  <si>
    <t>Total Assets</t>
  </si>
  <si>
    <t>NET ASSETS/EQUITY</t>
  </si>
  <si>
    <t>Add/(Deduct):</t>
  </si>
  <si>
    <t>Changes in accounting policy</t>
  </si>
  <si>
    <t>Prior period errors</t>
  </si>
  <si>
    <t>Other adjustments</t>
  </si>
  <si>
    <t>Restated balance</t>
  </si>
  <si>
    <t xml:space="preserve">Changes in Net Assets/Equity for the Calendar Year </t>
  </si>
  <si>
    <t>Surplus/(Deficit) for the period</t>
  </si>
  <si>
    <t>Cash Flows From Operating Activities</t>
  </si>
  <si>
    <t>Cash Inflows</t>
  </si>
  <si>
    <t>Receipt of Notice of Cash Allocation</t>
  </si>
  <si>
    <t>Receipt of Notice of Transfer of Cash Allocation</t>
  </si>
  <si>
    <t>Receipt of NCA for Trust and other receipts</t>
  </si>
  <si>
    <t>Receipt of Working Fund for Foreign-Assisted Projects</t>
  </si>
  <si>
    <t>Adjustments</t>
  </si>
  <si>
    <t>Cash Outflows</t>
  </si>
  <si>
    <t>Payment of Expenses</t>
  </si>
  <si>
    <t>Payment of personnel services</t>
  </si>
  <si>
    <t>Payment of maintenance and other operating expenses</t>
  </si>
  <si>
    <t>Payment of financial expenses</t>
  </si>
  <si>
    <t>Purchase of Inventories</t>
  </si>
  <si>
    <t>Purchase of inventories for sale</t>
  </si>
  <si>
    <t>Purchase of inventories for distribution</t>
  </si>
  <si>
    <t>Purchase of inventory held for consumption</t>
  </si>
  <si>
    <t>Purchase of raw materials inventory</t>
  </si>
  <si>
    <t>Purchase of Consumable Biological Assets</t>
  </si>
  <si>
    <t>Purchase of livestock held for consumption/sale/distribution</t>
  </si>
  <si>
    <t>Purchase of trees, plants and crops held for consumption/sale/distribution</t>
  </si>
  <si>
    <t>Purchase of aquaculture</t>
  </si>
  <si>
    <t>Purchase of other consumable biological assets</t>
  </si>
  <si>
    <t>Grant of Cash Advances</t>
  </si>
  <si>
    <t>Advances for operating expenses</t>
  </si>
  <si>
    <t>Advances for payroll</t>
  </si>
  <si>
    <t>Advances to officers and employees</t>
  </si>
  <si>
    <t>Advances to Contractors for repair and maintenance of property, plant and equipment (not capitalizable)</t>
  </si>
  <si>
    <t>Refund of Deposits</t>
  </si>
  <si>
    <t>Payment of deposits on letter of credits</t>
  </si>
  <si>
    <t>Payment of guaranty deposits</t>
  </si>
  <si>
    <t>Payment of other deposits</t>
  </si>
  <si>
    <t>Payment of Accounts Payable</t>
  </si>
  <si>
    <t>Remittance of Personnel Benefit Contributions and Mandatory Deductions</t>
  </si>
  <si>
    <t xml:space="preserve">Remittance of taxes withheld not covered by TRA </t>
  </si>
  <si>
    <t>Remittance to GSIS/Pag-IBIG/PhilHealth</t>
  </si>
  <si>
    <t xml:space="preserve">Remittance of personnel benefits contributions </t>
  </si>
  <si>
    <t>Remittance of other payables</t>
  </si>
  <si>
    <t>Grant of Financial Assistance/Subsidy</t>
  </si>
  <si>
    <t>Subsidy to NGAs</t>
  </si>
  <si>
    <t>Grant of financial assistance to NGAs/LGUs/GOCCs</t>
  </si>
  <si>
    <t xml:space="preserve">Grant of financial assistance to NGOs/POs </t>
  </si>
  <si>
    <t>Payment of Internal Revenue Allotment</t>
  </si>
  <si>
    <t>Grant of other subsidies</t>
  </si>
  <si>
    <t>Release of Inter-Agency Fund Transfers</t>
  </si>
  <si>
    <t>Advances to Procurement Service</t>
  </si>
  <si>
    <t>Advances to other NGAs/GOCCs/LGUs for purchase of goods/services as authorized by law</t>
  </si>
  <si>
    <t>Release of funds to NGAs, GOCCs, LGUs for the implementation of projects</t>
  </si>
  <si>
    <t>Release of other inter-agency fund transfers</t>
  </si>
  <si>
    <t>Release of Intra-Agency Fund Transfers</t>
  </si>
  <si>
    <t>Issuance of Working Fund to foreign service posts and regional consular offices</t>
  </si>
  <si>
    <t>Issuance of NTCA by CO/ROs to ROs/OUs</t>
  </si>
  <si>
    <t>Issuance of funding checks by HO/CO/ROs to ROs/OUs</t>
  </si>
  <si>
    <t>Release of other intra-agency fund transfers</t>
  </si>
  <si>
    <t>Other Disbursements</t>
  </si>
  <si>
    <t xml:space="preserve">Refund of excess income </t>
  </si>
  <si>
    <t>Refund of excess Working Fund/fund transfers/Trust Fund</t>
  </si>
  <si>
    <t>Refund of bail bond</t>
  </si>
  <si>
    <t>Refund of guaranty/security deposits</t>
  </si>
  <si>
    <t>Refund of customers'deposit</t>
  </si>
  <si>
    <t>Refund of cash advances</t>
  </si>
  <si>
    <t>Other disbursements</t>
  </si>
  <si>
    <t>Reversal of Unutilized NCA</t>
  </si>
  <si>
    <t>Reversion/Return of unused NCA</t>
  </si>
  <si>
    <t>Adjustment for dishonored checks</t>
  </si>
  <si>
    <t>Adjustment for cash shortage</t>
  </si>
  <si>
    <t>Reversing entry for unreleased checks in previous year</t>
  </si>
  <si>
    <t>Other adjustments - Outflow</t>
  </si>
  <si>
    <t>Net Cash Provided by (Used in) Operating Activities</t>
  </si>
  <si>
    <t>Cash Flows from Investing Activities</t>
  </si>
  <si>
    <t>Proceeds from Sale of Investment Property</t>
  </si>
  <si>
    <t>Proceeds from Sale/Disposal of Property, Plant and Equipment</t>
  </si>
  <si>
    <t>Sale of Investments</t>
  </si>
  <si>
    <t>Proceed from sale of stocks/bonds/marketable securities</t>
  </si>
  <si>
    <t>Sale of investment in joint venture</t>
  </si>
  <si>
    <t>Sale of investment in associates</t>
  </si>
  <si>
    <t>Sale of other investments</t>
  </si>
  <si>
    <t>Receipt of Cash Dividends</t>
  </si>
  <si>
    <t>Proceeds from Matured/Return of Investments</t>
  </si>
  <si>
    <t>Redemption of long term investments</t>
  </si>
  <si>
    <t>Proceeds from matured investments</t>
  </si>
  <si>
    <t>Proceeds from the return on investment in joint venture</t>
  </si>
  <si>
    <t>Proceeds from the return on investment in associates</t>
  </si>
  <si>
    <t>Collection of Long-Term Loans</t>
  </si>
  <si>
    <t>Repayment of long term-loans by GOCC/GFI</t>
  </si>
  <si>
    <t xml:space="preserve">Collection of long-term loans </t>
  </si>
  <si>
    <t>Proceeds from Sale of Other Assets</t>
  </si>
  <si>
    <t>Purchase/Construction of Investment Property</t>
  </si>
  <si>
    <t xml:space="preserve">Purchase/Construction of Property, Plant and Equipment </t>
  </si>
  <si>
    <t>Purchase of land</t>
  </si>
  <si>
    <t>Payment for land improvements</t>
  </si>
  <si>
    <t>Construction of infrastructure assets</t>
  </si>
  <si>
    <t>Construction of buildings and other structures</t>
  </si>
  <si>
    <t>Purchase of  machinery  and equipment</t>
  </si>
  <si>
    <t>Purchase of transportation equipment</t>
  </si>
  <si>
    <t>Purchase of furniture, fixtures and books</t>
  </si>
  <si>
    <t>Payments for leased assets improvements</t>
  </si>
  <si>
    <t>Construction in progress</t>
  </si>
  <si>
    <t>Construction/Acquistion of heritage assets</t>
  </si>
  <si>
    <t>Purchase of other property, plant and equipment</t>
  </si>
  <si>
    <t>Payment of right-of-way</t>
  </si>
  <si>
    <t>Advances to contractors</t>
  </si>
  <si>
    <t>Payment of guaranty deposit</t>
  </si>
  <si>
    <t>Payment of retention fee to contractors</t>
  </si>
  <si>
    <t>Payment of other fees charged to the projects</t>
  </si>
  <si>
    <t>Payment of incidental expenses</t>
  </si>
  <si>
    <t>Payment for rehabilitation of property, plant and equipment (capitalized repair)</t>
  </si>
  <si>
    <t>Payment of accounts payable for the construction of property, plant and equipment</t>
  </si>
  <si>
    <t>Investment in stocks/bonds/marketable securities</t>
  </si>
  <si>
    <t>Investment in GOCC/GFI</t>
  </si>
  <si>
    <t>Investment in joint venture</t>
  </si>
  <si>
    <t>Investment in associates</t>
  </si>
  <si>
    <t>Other long-term investments</t>
  </si>
  <si>
    <t>Purchase of Bearer Biological Assets</t>
  </si>
  <si>
    <t>Purchase of breeding stocks</t>
  </si>
  <si>
    <t>Purchase of livestock</t>
  </si>
  <si>
    <t>Purchase of trees, plants and crops</t>
  </si>
  <si>
    <t>Purchase of other bearer biological assets</t>
  </si>
  <si>
    <t>Purchase of Intangible Assets</t>
  </si>
  <si>
    <t>Purchase of computer software</t>
  </si>
  <si>
    <t>Purchase of other intangible assets</t>
  </si>
  <si>
    <t>Grant of Loans</t>
  </si>
  <si>
    <t>Release of funds for sub-loans</t>
  </si>
  <si>
    <t>Grant of loans</t>
  </si>
  <si>
    <t>Net Cash Provided by (Used in) Investing Activities</t>
  </si>
  <si>
    <t>Cash Flows From Financing Activities</t>
  </si>
  <si>
    <t>Proceeds from issuance of bills and bonds</t>
  </si>
  <si>
    <t>Proceeds from issuance of bill</t>
  </si>
  <si>
    <t>Proceeds from issuance of bonds</t>
  </si>
  <si>
    <t>Proceeds from Domestic and Foreign Loans</t>
  </si>
  <si>
    <t>Proceeds from issuance of notes payable</t>
  </si>
  <si>
    <t>Proceeds from domestic loans</t>
  </si>
  <si>
    <t>Proceeds from foreign loans</t>
  </si>
  <si>
    <t>Payment of Long-Term Liabilities</t>
  </si>
  <si>
    <t>Payment of notes payable</t>
  </si>
  <si>
    <t>Payment of domestic loans</t>
  </si>
  <si>
    <t>Payment of foreign loans</t>
  </si>
  <si>
    <t>Payment of finance lease payable</t>
  </si>
  <si>
    <t>Payment of other long-term liabilities</t>
  </si>
  <si>
    <t>Redemption of Bills/Bonds Issued</t>
  </si>
  <si>
    <t>Payment for redemption of treasury bills</t>
  </si>
  <si>
    <t>Payment for redemption of bonds</t>
  </si>
  <si>
    <t>Payment of Interest Expense (BTR/NG Debt)</t>
  </si>
  <si>
    <t>Net Cash Provided by (Used in) Financing Activities</t>
  </si>
  <si>
    <t>Increase (Decrease) in Cash and Cash Equivalents</t>
  </si>
  <si>
    <t>Effects of Exchange Rate Changes on Cash and Cash Equivalents</t>
  </si>
  <si>
    <t>Cash- Treasury/Agency Deposit, Regular</t>
  </si>
  <si>
    <t>Technical and Scientific Equipment</t>
  </si>
  <si>
    <t>Accumulated Depreciation-Technical and Scientific Equipment</t>
  </si>
  <si>
    <t>Accumulated Impairment Losses-Technical and Scientific Equipment</t>
  </si>
  <si>
    <t>Machinery and Equipment</t>
  </si>
  <si>
    <t>Accumulated Depreciation-Other Machinery and Equipment</t>
  </si>
  <si>
    <t>Accumulated Impairment Losses-Other Machinery and EquipmentEquipment</t>
  </si>
  <si>
    <r>
      <t xml:space="preserve">Adjustment of net revenue recognized directly in net assets/equity </t>
    </r>
    <r>
      <rPr>
        <vertAlign val="superscript"/>
        <sz val="10"/>
        <rFont val="Arial"/>
        <family val="2"/>
      </rPr>
      <t>1</t>
    </r>
  </si>
  <si>
    <r>
      <t xml:space="preserve">Others </t>
    </r>
    <r>
      <rPr>
        <b/>
        <vertAlign val="superscript"/>
        <sz val="10"/>
        <rFont val="Arial"/>
        <family val="2"/>
      </rPr>
      <t>2</t>
    </r>
  </si>
  <si>
    <t>Purchase of technical and scientific equipment</t>
  </si>
  <si>
    <t>1-04-06-010</t>
  </si>
  <si>
    <t>5-02-03-210 02</t>
  </si>
  <si>
    <t>5-02-03-210 03</t>
  </si>
  <si>
    <t>5-02-15-010 02</t>
  </si>
  <si>
    <t>5-02-99-990 02</t>
  </si>
  <si>
    <t>5-03-01-040</t>
  </si>
  <si>
    <t>1-04-05-190</t>
  </si>
  <si>
    <t>5-01-02-040 01</t>
  </si>
  <si>
    <t>5-02-99-050 01</t>
  </si>
  <si>
    <t>Semi-expendable - Furnitures &amp; Fixtures</t>
  </si>
  <si>
    <t>Technical &amp; Scientific Equipment</t>
  </si>
  <si>
    <t xml:space="preserve">   Accumulated Depreciation - Tech. &amp; Scientific Equipment</t>
  </si>
  <si>
    <t xml:space="preserve">1-06-05-141 </t>
  </si>
  <si>
    <t xml:space="preserve">1-06-05-140 </t>
  </si>
  <si>
    <t>Semi-expendable -Other Machinery &amp; Equipment</t>
  </si>
  <si>
    <t>Semi-Expendable Office Equipment Expenses</t>
  </si>
  <si>
    <t>Semi-Expendable ICT Equipment Expenses</t>
  </si>
  <si>
    <t>5-01-02-100 01</t>
  </si>
  <si>
    <t>5-02-06-010 01</t>
  </si>
  <si>
    <t>Awards/Rewards Expenses</t>
  </si>
  <si>
    <t>Tax refund</t>
  </si>
  <si>
    <t>Awards, Rewards, Prizes and Indemnities</t>
  </si>
  <si>
    <t>Total Awards/Rewards Expenses</t>
  </si>
  <si>
    <t>Tax Refund</t>
  </si>
  <si>
    <t>Total Maintenance and Other Operating Expenses</t>
  </si>
  <si>
    <t>CONDENSED STATEMENT OF FINANCIAL POSITION</t>
  </si>
  <si>
    <t>April</t>
  </si>
  <si>
    <t>May</t>
  </si>
  <si>
    <t>June</t>
  </si>
  <si>
    <t>July</t>
  </si>
  <si>
    <t>Aug</t>
  </si>
  <si>
    <t>Sep</t>
  </si>
  <si>
    <t>Cash and Cash Equivalents, September 30</t>
  </si>
  <si>
    <t>Performance Based Bonus</t>
  </si>
  <si>
    <t>5-04-02-990 14</t>
  </si>
  <si>
    <t>5-01-04-030 01</t>
  </si>
  <si>
    <t>5-02-03-210 01</t>
  </si>
  <si>
    <t>5-02-03-210 07</t>
  </si>
  <si>
    <t>1-06-99-030</t>
  </si>
  <si>
    <t>Construction in Progress-Buildings and Other Structures</t>
  </si>
  <si>
    <t>Representation Expenses</t>
  </si>
  <si>
    <t>5-02-99-030</t>
  </si>
  <si>
    <t>Collective Negotiation Agreement-Civilian</t>
  </si>
  <si>
    <t>5-01-02-990 11</t>
  </si>
  <si>
    <t>Productivity Enhancement Incentive-Civilian</t>
  </si>
  <si>
    <t>5-01-02-990 12</t>
  </si>
  <si>
    <t>Balance - December, 2017</t>
  </si>
  <si>
    <t>Due from National Government Agencies</t>
  </si>
  <si>
    <t>1-03-03-010</t>
  </si>
  <si>
    <t>Revenue and Expense Summary</t>
  </si>
  <si>
    <t>Semi-Expendable Machinery Expenses</t>
  </si>
  <si>
    <t>Semi-Expendable Other Machinery &amp; Equipment Expenses</t>
  </si>
  <si>
    <t>5-02-03-210 99</t>
  </si>
  <si>
    <t>Semi-Expendable Communication Equipment Expenses</t>
  </si>
  <si>
    <t>5 05 01 050 02</t>
  </si>
  <si>
    <t>5 05 01 070 01</t>
  </si>
  <si>
    <t>5 05 01 050 03</t>
  </si>
  <si>
    <t>5 05 01 050 07</t>
  </si>
  <si>
    <t>Depreciation Expense - Disaster, Response and Rescue</t>
  </si>
  <si>
    <t>5 05 01 050 09</t>
  </si>
  <si>
    <t>Depreciation Expense - Technical &amp; Scientific</t>
  </si>
  <si>
    <t>5 05 01 050 14</t>
  </si>
  <si>
    <t>5 05 01 990 00</t>
  </si>
  <si>
    <t>Tawiran, Calapan City, Oriental Mindoro</t>
  </si>
  <si>
    <t>Repair &amp; Maintenance-Printing Equipment</t>
  </si>
  <si>
    <t>5-02-13-050 12</t>
  </si>
  <si>
    <t>5-02-13-090 02</t>
  </si>
  <si>
    <t>Repair &amp; Maintenance-Buildings Improvement</t>
  </si>
  <si>
    <t>Cash Treasury/Agency Deposit-Trust</t>
  </si>
  <si>
    <t>Cash Treasury/Agency Deposit - Regular</t>
  </si>
  <si>
    <t>1-01-04-030</t>
  </si>
  <si>
    <t>As of March 31, 2018</t>
  </si>
  <si>
    <t>Inter-Agency Receivables</t>
  </si>
  <si>
    <t>Cash- Treasury/Agency Deposit, Trust</t>
  </si>
  <si>
    <t>Balance at January 1, 2018</t>
  </si>
  <si>
    <t>Add/Deduct:</t>
  </si>
  <si>
    <t>Other Adjustments</t>
  </si>
  <si>
    <t xml:space="preserve">Reversion to BTr, Trust </t>
  </si>
  <si>
    <t>Reversion to BTr, Regular</t>
  </si>
  <si>
    <t>CONDENSED STATEMENT OF  FINANCIAL PERFORMANCE</t>
  </si>
  <si>
    <t>STATEMENT OF CHANGES IN NET ASSETS/EQUITY</t>
  </si>
  <si>
    <t>Semi-Expendable - Furnitures &amp; Fixtures</t>
  </si>
  <si>
    <t>Semi-Expendable - Other Machinery &amp; Equipment</t>
  </si>
  <si>
    <t>Accumulated Depreciation-Technical &amp; Scientific Equipment</t>
  </si>
  <si>
    <t>Accumulated Impairment Losses-Technical &amp; Scientific Equipment</t>
  </si>
  <si>
    <t>Cash and Cash Equivalents, January 1</t>
  </si>
  <si>
    <t>STATEMENT OF  COMPARISON OF BUDGET AND ACTUAL AMOUNT</t>
  </si>
  <si>
    <t>Note</t>
  </si>
  <si>
    <t>Budgeted Amount</t>
  </si>
  <si>
    <t>Actual Amounts on Comparable Basis</t>
  </si>
  <si>
    <t>Difference of Final Budget and Actual</t>
  </si>
  <si>
    <t>Original</t>
  </si>
  <si>
    <t>Final</t>
  </si>
  <si>
    <t>RECEIPTS</t>
  </si>
  <si>
    <t xml:space="preserve">   Assistance and Subsidy</t>
  </si>
  <si>
    <t xml:space="preserve">     Receipt of Notice of Cash Allocation (NCA)</t>
  </si>
  <si>
    <t xml:space="preserve">     Receipt of Notice of Transfer of Allotment (NTA)</t>
  </si>
  <si>
    <t xml:space="preserve">   Total Receipts</t>
  </si>
  <si>
    <t>PAYMENTS</t>
  </si>
  <si>
    <t xml:space="preserve">    Personnel Services</t>
  </si>
  <si>
    <t xml:space="preserve">    Maintenance &amp; Other Operating Expenses</t>
  </si>
  <si>
    <t xml:space="preserve">    Capital Outlay</t>
  </si>
  <si>
    <t xml:space="preserve">    Total Payments</t>
  </si>
  <si>
    <t>NET RECEIPTS/PAYMENTS</t>
  </si>
  <si>
    <t xml:space="preserve">  Receipt of NCA for Trust and other receipts</t>
  </si>
  <si>
    <t xml:space="preserve">  Adjustments</t>
  </si>
  <si>
    <t>As of September 30, 2018</t>
  </si>
  <si>
    <t>Balance - August, 2018</t>
  </si>
  <si>
    <t>EDWIN T. ANDOYO, CESO IV</t>
  </si>
  <si>
    <t>Acting Regional Director</t>
  </si>
  <si>
    <t>Administrative Officer V</t>
  </si>
  <si>
    <t>Longevity Pay</t>
  </si>
  <si>
    <t>5-02-14-010</t>
  </si>
  <si>
    <t>For the Month Ended September 30, 2018</t>
  </si>
  <si>
    <t>Balance at September 30, 2018</t>
  </si>
  <si>
    <t xml:space="preserve">   Accumulated Depreciation - Tech. &amp; Scientific Equip.</t>
  </si>
  <si>
    <t>Cash Treasury/Agency Deposit - Trust</t>
  </si>
  <si>
    <t>Productivity Enhancement Incentive Civilian</t>
  </si>
  <si>
    <t>Semi-Expendable Other Machinery &amp; Equipment Expense</t>
  </si>
  <si>
    <t>Repair &amp; Maintenance-Building Improvement</t>
  </si>
  <si>
    <t>Balance - December, 2018</t>
  </si>
  <si>
    <t>Depreciation Expense - Technical and Scientific Equipment</t>
  </si>
  <si>
    <t>Semi-Expendable Machinery Equipment Expenses</t>
  </si>
  <si>
    <t>Subsidy to National Government Agencies</t>
  </si>
  <si>
    <t>Construction in Progress</t>
  </si>
  <si>
    <t>Construction in Progress -  Building and Other Structures</t>
  </si>
  <si>
    <t>TECHNICAL EDUCATION AND SKILLS DEVELOPMENT AUTHORITY</t>
  </si>
  <si>
    <t>Region IV B - MIMAROPA</t>
  </si>
  <si>
    <t>STATEMENT OF COMPARISON OF BUDGET AND ACTUAL AMOUNT</t>
  </si>
  <si>
    <t>FUND 101101</t>
  </si>
  <si>
    <t>PARTICULARS</t>
  </si>
  <si>
    <t>BUDGETED AMOUNT</t>
  </si>
  <si>
    <t>Difference Final Budget and Actual</t>
  </si>
  <si>
    <t xml:space="preserve">    Assistance and Subsidy</t>
  </si>
  <si>
    <t xml:space="preserve">        Subsidy from National Government</t>
  </si>
  <si>
    <t xml:space="preserve">     Personnel Services</t>
  </si>
  <si>
    <t xml:space="preserve">     Maintenance and Operating Expenses</t>
  </si>
  <si>
    <t xml:space="preserve">              Remittance to National Treasury</t>
  </si>
  <si>
    <t>VANESSA JANE D. ACEVEDA</t>
  </si>
  <si>
    <t xml:space="preserve">        Subsidy from Central Office</t>
  </si>
  <si>
    <t xml:space="preserve">     Capital Outlay</t>
  </si>
  <si>
    <t xml:space="preserve">GAMALIEL B. VICENTE JR., CESE/CSEE </t>
  </si>
  <si>
    <t>Accountant IV</t>
  </si>
  <si>
    <r>
      <t xml:space="preserve">Adjustment of net revenue recognized directly in net assets/equity </t>
    </r>
    <r>
      <rPr>
        <vertAlign val="superscript"/>
        <sz val="10"/>
        <rFont val="Calibri"/>
        <family val="2"/>
      </rPr>
      <t>1</t>
    </r>
  </si>
  <si>
    <r>
      <t xml:space="preserve">Others </t>
    </r>
    <r>
      <rPr>
        <b/>
        <vertAlign val="superscript"/>
        <sz val="10"/>
        <rFont val="Calibri"/>
        <family val="2"/>
      </rPr>
      <t>2</t>
    </r>
  </si>
  <si>
    <t>For the Year Ended December 31, 2018</t>
  </si>
  <si>
    <t>RO</t>
  </si>
  <si>
    <t xml:space="preserve">Or Min </t>
  </si>
  <si>
    <t>Occ Min</t>
  </si>
  <si>
    <t>Marinduque</t>
  </si>
  <si>
    <t>Romblon</t>
  </si>
  <si>
    <t>Palawan</t>
  </si>
  <si>
    <t>Assistance and Subsidy</t>
  </si>
  <si>
    <t>Subsidy from Central Office</t>
  </si>
  <si>
    <t>-</t>
  </si>
  <si>
    <t>Maintenance and Operating Expenses</t>
  </si>
  <si>
    <t>Capital Outlay</t>
  </si>
  <si>
    <t>Remittance to National Treasury</t>
  </si>
  <si>
    <t xml:space="preserve">Cash Collecting </t>
  </si>
  <si>
    <t>1-01-01-010</t>
  </si>
  <si>
    <t>Other Property Plant Equipment</t>
  </si>
  <si>
    <t>1-06-99-990</t>
  </si>
  <si>
    <t>1-06-99-991</t>
  </si>
  <si>
    <t xml:space="preserve">   Accumulated Depreciation - Other PPE</t>
  </si>
  <si>
    <t>2-02-01-020 01</t>
  </si>
  <si>
    <t>Due to GSIS RLIP</t>
  </si>
  <si>
    <t>Due to GSIS Salary Loan</t>
  </si>
  <si>
    <t>Due to GSIS Policy Loan</t>
  </si>
  <si>
    <t>2-02-01-020 03</t>
  </si>
  <si>
    <t>2-02-01-020 04</t>
  </si>
  <si>
    <t>Due to Pag-Ibig Premium</t>
  </si>
  <si>
    <t>Due to Pag-Ibig MPL</t>
  </si>
  <si>
    <t>2-02-01-030 01</t>
  </si>
  <si>
    <t>2-02-01-030 02</t>
  </si>
  <si>
    <t>Gas Heating Expense</t>
  </si>
  <si>
    <t xml:space="preserve">5-02-04-030 </t>
  </si>
  <si>
    <t>GAMALIEL B. VICENTE, JR., CESE</t>
  </si>
  <si>
    <t>Regional Accountant</t>
  </si>
  <si>
    <t>Lump Sum STEP Increment - Meritorious Performance</t>
  </si>
  <si>
    <t>5-01-04-990 11</t>
  </si>
  <si>
    <t>As of March 31, 2019</t>
  </si>
  <si>
    <t>Rent Expenses - Motor Vehicle</t>
  </si>
  <si>
    <t>5-02-99-050 03</t>
  </si>
  <si>
    <t>Rent Expenses Motor Vehicle</t>
  </si>
  <si>
    <t>Balance - March, 2019</t>
  </si>
  <si>
    <t>Semi-Expendable Machinery Expense</t>
  </si>
  <si>
    <t>Semi-Expendable ICT Equipment</t>
  </si>
  <si>
    <t>Semi-Expendable Other Machinery &amp; Equipment</t>
  </si>
  <si>
    <t>Semi-Expendable Communication Expense</t>
  </si>
  <si>
    <t>Gas/Heating Expenses</t>
  </si>
  <si>
    <t>Rent -  Office Building</t>
  </si>
  <si>
    <t>Rent -  Motor Vehicle</t>
  </si>
  <si>
    <t>GAMALIEL B. VICENTE JR.</t>
  </si>
  <si>
    <t>Other Property, Plant &amp; Equipment</t>
  </si>
  <si>
    <t>Accumulated Depreciation-Other Property, Plant &amp; Equipment</t>
  </si>
  <si>
    <t>Accumulated Impairment Losses-Other Property, Plant &amp; Equipment</t>
  </si>
  <si>
    <t>Constrcution in Progress - Building and Other Structures</t>
  </si>
  <si>
    <t>Cash and Cash Equivalents, March 31, 2019</t>
  </si>
  <si>
    <t>Cash and Cash Equivalents, January 1, 2019</t>
  </si>
  <si>
    <t>Retirement Gratuity</t>
  </si>
  <si>
    <t>5-01-04-020 00</t>
  </si>
  <si>
    <t>Collective Negotiation Agreement</t>
  </si>
  <si>
    <t xml:space="preserve">Retirement Gratuity </t>
  </si>
  <si>
    <t>Lump-sum for Step Increments - Meritorious Performance</t>
  </si>
  <si>
    <t>Inter Agency Receivables</t>
  </si>
  <si>
    <t>Due to National Government Agencies</t>
  </si>
  <si>
    <t>Balance at January 1, 2019</t>
  </si>
  <si>
    <t>Due from Operating Units</t>
  </si>
  <si>
    <t>1-03-04-040</t>
  </si>
  <si>
    <t xml:space="preserve"> </t>
  </si>
  <si>
    <t>Website Maintenance</t>
  </si>
  <si>
    <t>5-02-99-990 01</t>
  </si>
  <si>
    <t>Semi-expendable -Furniture &amp; Fixtures</t>
  </si>
  <si>
    <t>As of December 31, 2019</t>
  </si>
  <si>
    <t>Due from Other Funds</t>
  </si>
  <si>
    <t>1-03-04-050 00</t>
  </si>
  <si>
    <t>Balance - December, 2019</t>
  </si>
  <si>
    <t>Depreciation Expense - Other Machinery &amp; Equipment</t>
  </si>
  <si>
    <t>Website Expenses</t>
  </si>
  <si>
    <t>Due from Other Operating Units</t>
  </si>
  <si>
    <t>Cash and Cash Equivalents, January 2019</t>
  </si>
  <si>
    <t>Cash and Cash Equivalents, December 31, 2019</t>
  </si>
  <si>
    <t>Balance at December 31, 2019</t>
  </si>
  <si>
    <t>Post Closing Trial Balance</t>
  </si>
  <si>
    <t>As of January 31, 2020</t>
  </si>
  <si>
    <t>4-03-01-060</t>
  </si>
  <si>
    <t>As of February 28, 2020</t>
  </si>
  <si>
    <t>Balance - January, 2020</t>
  </si>
  <si>
    <t>As of March 31, 2020</t>
  </si>
  <si>
    <t>Balance - February, 2020</t>
  </si>
  <si>
    <t>Balance at January 1, 2020</t>
  </si>
  <si>
    <t>Balance at March 31, 2020</t>
  </si>
  <si>
    <t>Other Receipts</t>
  </si>
  <si>
    <t>Unused Petty Cash</t>
  </si>
  <si>
    <t>Motor Vehicle</t>
  </si>
  <si>
    <t>Accumulated Depreciation-Motor Vehicle</t>
  </si>
  <si>
    <t>Accumulated Impairment Losses-Motor Vehicle</t>
  </si>
  <si>
    <t>As of April 30, 2020</t>
  </si>
  <si>
    <t>Balance - March, 2020</t>
  </si>
  <si>
    <t>As of May 31, 2020</t>
  </si>
  <si>
    <t>Balance - April, 2020</t>
  </si>
  <si>
    <t>As of June 30, 2020</t>
  </si>
  <si>
    <t>Balance - May, 2020</t>
  </si>
  <si>
    <t>Balance - June, 2020</t>
  </si>
  <si>
    <t>Repair &amp; Maintenance-ICT</t>
  </si>
  <si>
    <t xml:space="preserve">Motor Vehicle </t>
  </si>
  <si>
    <t>Balance at June 30, 2020</t>
  </si>
  <si>
    <t>Cash and Cash Equivalents, June 30, 2020</t>
  </si>
  <si>
    <t>Cash and Cash Equivalents, January 1, 2020</t>
  </si>
  <si>
    <t>For the Quarter Ended June 30, 2020</t>
  </si>
  <si>
    <t>As of July 31, 2020</t>
  </si>
  <si>
    <t>As of August 31, 2020</t>
  </si>
  <si>
    <t>Balance - July, 2020</t>
  </si>
  <si>
    <t>As of September 30, 2020</t>
  </si>
  <si>
    <t>Balance - August, 2020</t>
  </si>
  <si>
    <t>As of October 31, 2020</t>
  </si>
  <si>
    <t>As of November 30, 2020</t>
  </si>
  <si>
    <t>As of December 31, 2020</t>
  </si>
  <si>
    <t>1-06-04-010</t>
  </si>
  <si>
    <t>1-06-04-011</t>
  </si>
  <si>
    <t>Buildings</t>
  </si>
  <si>
    <t xml:space="preserve">   Accumulated Depreciation - Buildings</t>
  </si>
  <si>
    <t>Water Supply Systems</t>
  </si>
  <si>
    <t>1-06-03-040</t>
  </si>
  <si>
    <t xml:space="preserve">   Accumulated Depreciation - Water Supply System</t>
  </si>
  <si>
    <t>1-06-03-041</t>
  </si>
  <si>
    <t xml:space="preserve">Power Supply Systems </t>
  </si>
  <si>
    <t xml:space="preserve">   Accumulated Depreciation - Power Supply System</t>
  </si>
  <si>
    <t>1-06-03-050</t>
  </si>
  <si>
    <t>1-06-03-051</t>
  </si>
  <si>
    <t>Balance - September, 2020</t>
  </si>
  <si>
    <t>Other Structure</t>
  </si>
  <si>
    <t xml:space="preserve">   Accumulated Depreciation - Other Structure</t>
  </si>
  <si>
    <t>Balance - October, 2020</t>
  </si>
  <si>
    <t>Balance - November, 2020</t>
  </si>
  <si>
    <t>5-02-13-040 01</t>
  </si>
  <si>
    <t xml:space="preserve">Repair &amp; Maintenance-Buildings </t>
  </si>
  <si>
    <t>Repair &amp; Maintenance-Other Structure</t>
  </si>
  <si>
    <t>5-02-13-040 99</t>
  </si>
  <si>
    <t>Balance - December, 2020</t>
  </si>
  <si>
    <t>Repair &amp; Maintenance-Buildings</t>
  </si>
  <si>
    <t>Depreciation Expense - Buildings</t>
  </si>
  <si>
    <t>5 05 01 040 01</t>
  </si>
  <si>
    <t>Depreciation Expense - Power Supply System</t>
  </si>
  <si>
    <t>5 05 01060 01</t>
  </si>
  <si>
    <t>Depreciation Expense - Water Supply System</t>
  </si>
  <si>
    <t>5 05 01-030 04</t>
  </si>
  <si>
    <t>For the Month Ended December 31, 2020</t>
  </si>
  <si>
    <t>Year-End Bonus</t>
  </si>
  <si>
    <t>Repair &amp; Maintenance-Other Structures</t>
  </si>
  <si>
    <t>Tax, Duties and License</t>
  </si>
  <si>
    <t xml:space="preserve">Rent Expenses </t>
  </si>
  <si>
    <t>Representation Expense</t>
  </si>
  <si>
    <t>Depreciation Expense - Water Suppy Systems</t>
  </si>
  <si>
    <t>Depreciation Expense - Power Suppy Systems</t>
  </si>
  <si>
    <t>ENGR. MANUEL B. WONG, CESO IV</t>
  </si>
  <si>
    <t>Power Supply Systems</t>
  </si>
  <si>
    <t>Accumulated Depreciation-Power Supply Systems</t>
  </si>
  <si>
    <t>Accumulated Depreciation-Buildings</t>
  </si>
  <si>
    <t>Accumulated Depreciation-Water Supply Systems</t>
  </si>
  <si>
    <t>Transportation</t>
  </si>
  <si>
    <t>For the Year Ended December 31, 2020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</si>
</sst>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_(* #,##0.00_);_(* \(#,##0.00\);_(* \-??_);_(@_)"/>
    <numFmt numFmtId="171" formatCode="#,###.00"/>
    <numFmt numFmtId="172" formatCode="0.00_);\(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  <numFmt numFmtId="178" formatCode="_(* #,##0.00_);_(* \(#,##0.00\);_(* &quot;-&quot;??_)"/>
    <numFmt numFmtId="179" formatCode="[$-409]dddd\,\ mmmm\ d\,\ yyyy"/>
    <numFmt numFmtId="180" formatCode="[$-409]h:mm:ss\ AM/PM"/>
    <numFmt numFmtId="181" formatCode="0_);\(0\)"/>
    <numFmt numFmtId="182" formatCode="#,##0;[Red]#,##0"/>
    <numFmt numFmtId="183" formatCode="#,##0.00&quot; &quot;;&quot;(&quot;#,##0.00&quot;)&quot;;&quot;-&quot;#&quot; &quot;;&quot; &quot;@&quot; &quot;"/>
    <numFmt numFmtId="184" formatCode="#,##0.00\ ;&quot; (&quot;#,##0.00\);&quot; -&quot;#\ ;@\ "/>
    <numFmt numFmtId="185" formatCode="0.00&quot; &quot;"/>
  </numFmts>
  <fonts count="76">
    <font>
      <sz val="10"/>
      <name val="Arial"/>
      <family val="0"/>
    </font>
    <font>
      <sz val="8"/>
      <name val="Arial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1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color indexed="8"/>
      <name val="Helv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i/>
      <sz val="16"/>
      <color rgb="FF00000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i/>
      <sz val="16"/>
      <color rgb="FF000000"/>
      <name val="Helv"/>
      <family val="0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183" fontId="51" fillId="0" borderId="0" applyFont="0" applyBorder="0" applyProtection="0">
      <alignment/>
    </xf>
    <xf numFmtId="183" fontId="51" fillId="0" borderId="0" applyFont="0" applyBorder="0" applyProtection="0">
      <alignment/>
    </xf>
    <xf numFmtId="184" fontId="0" fillId="0" borderId="0" applyFont="0" applyFill="0" applyAlignment="0" applyProtection="0"/>
    <xf numFmtId="170" fontId="0" fillId="0" borderId="0" applyFont="0" applyFill="0" applyAlignment="0" applyProtection="0"/>
    <xf numFmtId="43" fontId="46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3" fontId="51" fillId="0" borderId="0" applyFont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Protection="0">
      <alignment/>
    </xf>
    <xf numFmtId="0" fontId="56" fillId="0" borderId="0" applyNumberFormat="0" applyBorder="0" applyProtection="0">
      <alignment horizontal="center"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Border="0" applyProtection="0">
      <alignment horizontal="center" textRotation="90"/>
    </xf>
    <xf numFmtId="0" fontId="60" fillId="0" borderId="0" applyNumberFormat="0" applyFill="0" applyBorder="0" applyAlignment="0" applyProtection="0"/>
    <xf numFmtId="0" fontId="61" fillId="31" borderId="1" applyNumberFormat="0" applyAlignment="0" applyProtection="0"/>
    <xf numFmtId="0" fontId="55" fillId="32" borderId="0" applyNumberFormat="0" applyBorder="0" applyProtection="0">
      <alignment/>
    </xf>
    <xf numFmtId="0" fontId="62" fillId="0" borderId="6" applyNumberFormat="0" applyFill="0" applyAlignment="0" applyProtection="0"/>
    <xf numFmtId="0" fontId="63" fillId="33" borderId="0" applyNumberFormat="0" applyBorder="0" applyAlignment="0" applyProtection="0"/>
    <xf numFmtId="185" fontId="64" fillId="0" borderId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0" fillId="34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10" fontId="51" fillId="0" borderId="0" applyFont="0" applyBorder="0" applyProtection="0">
      <alignment/>
    </xf>
    <xf numFmtId="0" fontId="66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170" fontId="37" fillId="0" borderId="0" xfId="42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70" fontId="37" fillId="0" borderId="0" xfId="42" applyFont="1" applyFill="1" applyBorder="1" applyAlignment="1" applyProtection="1">
      <alignment/>
      <protection/>
    </xf>
    <xf numFmtId="170" fontId="37" fillId="0" borderId="11" xfId="42" applyFont="1" applyBorder="1" applyAlignment="1">
      <alignment/>
    </xf>
    <xf numFmtId="170" fontId="37" fillId="0" borderId="12" xfId="42" applyFont="1" applyBorder="1" applyAlignment="1">
      <alignment/>
    </xf>
    <xf numFmtId="170" fontId="37" fillId="0" borderId="11" xfId="42" applyFont="1" applyFill="1" applyBorder="1" applyAlignment="1" applyProtection="1">
      <alignment/>
      <protection/>
    </xf>
    <xf numFmtId="170" fontId="37" fillId="0" borderId="10" xfId="42" applyFont="1" applyBorder="1" applyAlignment="1">
      <alignment/>
    </xf>
    <xf numFmtId="170" fontId="37" fillId="0" borderId="10" xfId="42" applyFont="1" applyFill="1" applyBorder="1" applyAlignment="1" applyProtection="1">
      <alignment/>
      <protection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>
      <alignment/>
    </xf>
    <xf numFmtId="170" fontId="37" fillId="0" borderId="13" xfId="42" applyFont="1" applyBorder="1" applyAlignment="1">
      <alignment/>
    </xf>
    <xf numFmtId="0" fontId="38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6" fillId="0" borderId="12" xfId="0" applyFont="1" applyBorder="1" applyAlignment="1">
      <alignment horizontal="center"/>
    </xf>
    <xf numFmtId="170" fontId="37" fillId="0" borderId="14" xfId="42" applyFont="1" applyBorder="1" applyAlignment="1">
      <alignment/>
    </xf>
    <xf numFmtId="0" fontId="3" fillId="0" borderId="10" xfId="0" applyFont="1" applyBorder="1" applyAlignment="1">
      <alignment/>
    </xf>
    <xf numFmtId="0" fontId="40" fillId="0" borderId="12" xfId="0" applyFont="1" applyBorder="1" applyAlignment="1">
      <alignment horizontal="center"/>
    </xf>
    <xf numFmtId="170" fontId="3" fillId="0" borderId="0" xfId="42" applyFont="1" applyFill="1" applyBorder="1" applyAlignment="1" applyProtection="1">
      <alignment/>
      <protection/>
    </xf>
    <xf numFmtId="170" fontId="3" fillId="0" borderId="12" xfId="42" applyFont="1" applyFill="1" applyBorder="1" applyAlignment="1" applyProtection="1">
      <alignment/>
      <protection/>
    </xf>
    <xf numFmtId="170" fontId="3" fillId="0" borderId="10" xfId="42" applyFont="1" applyFill="1" applyBorder="1" applyAlignment="1" applyProtection="1">
      <alignment/>
      <protection/>
    </xf>
    <xf numFmtId="170" fontId="3" fillId="0" borderId="11" xfId="42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42" applyFont="1" applyAlignment="1">
      <alignment/>
    </xf>
    <xf numFmtId="0" fontId="40" fillId="0" borderId="0" xfId="0" applyFont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70" fontId="0" fillId="0" borderId="11" xfId="42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/>
    </xf>
    <xf numFmtId="170" fontId="37" fillId="0" borderId="11" xfId="0" applyNumberFormat="1" applyFont="1" applyBorder="1" applyAlignment="1">
      <alignment/>
    </xf>
    <xf numFmtId="170" fontId="37" fillId="0" borderId="12" xfId="0" applyNumberFormat="1" applyFont="1" applyBorder="1" applyAlignment="1">
      <alignment/>
    </xf>
    <xf numFmtId="170" fontId="37" fillId="0" borderId="12" xfId="42" applyFont="1" applyFill="1" applyBorder="1" applyAlignment="1" applyProtection="1">
      <alignment/>
      <protection/>
    </xf>
    <xf numFmtId="170" fontId="0" fillId="0" borderId="11" xfId="42" applyFont="1" applyFill="1" applyBorder="1" applyAlignment="1" applyProtection="1">
      <alignment/>
      <protection/>
    </xf>
    <xf numFmtId="0" fontId="37" fillId="0" borderId="10" xfId="0" applyFont="1" applyBorder="1" applyAlignment="1">
      <alignment horizontal="justify"/>
    </xf>
    <xf numFmtId="43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170" fontId="3" fillId="0" borderId="21" xfId="42" applyFont="1" applyFill="1" applyBorder="1" applyAlignment="1" applyProtection="1">
      <alignment/>
      <protection/>
    </xf>
    <xf numFmtId="170" fontId="3" fillId="0" borderId="22" xfId="42" applyFont="1" applyFill="1" applyBorder="1" applyAlignment="1" applyProtection="1">
      <alignment/>
      <protection/>
    </xf>
    <xf numFmtId="170" fontId="3" fillId="0" borderId="23" xfId="42" applyFont="1" applyFill="1" applyBorder="1" applyAlignment="1" applyProtection="1">
      <alignment/>
      <protection/>
    </xf>
    <xf numFmtId="170" fontId="3" fillId="0" borderId="24" xfId="42" applyFont="1" applyFill="1" applyBorder="1" applyAlignment="1" applyProtection="1">
      <alignment/>
      <protection/>
    </xf>
    <xf numFmtId="170" fontId="3" fillId="0" borderId="25" xfId="42" applyFont="1" applyFill="1" applyBorder="1" applyAlignment="1" applyProtection="1">
      <alignment/>
      <protection/>
    </xf>
    <xf numFmtId="170" fontId="3" fillId="0" borderId="14" xfId="42" applyFont="1" applyFill="1" applyBorder="1" applyAlignment="1" applyProtection="1">
      <alignment/>
      <protection/>
    </xf>
    <xf numFmtId="170" fontId="3" fillId="0" borderId="26" xfId="42" applyFont="1" applyFill="1" applyBorder="1" applyAlignment="1" applyProtection="1">
      <alignment/>
      <protection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170" fontId="40" fillId="0" borderId="29" xfId="42" applyFont="1" applyFill="1" applyBorder="1" applyAlignment="1" applyProtection="1">
      <alignment/>
      <protection/>
    </xf>
    <xf numFmtId="170" fontId="40" fillId="0" borderId="30" xfId="42" applyFont="1" applyFill="1" applyBorder="1" applyAlignment="1" applyProtection="1">
      <alignment/>
      <protection/>
    </xf>
    <xf numFmtId="170" fontId="40" fillId="0" borderId="31" xfId="42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1" fillId="0" borderId="3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43" fontId="35" fillId="0" borderId="0" xfId="42" applyNumberFormat="1" applyFont="1" applyAlignment="1">
      <alignment/>
    </xf>
    <xf numFmtId="43" fontId="35" fillId="0" borderId="0" xfId="42" applyNumberFormat="1" applyFont="1" applyBorder="1" applyAlignment="1">
      <alignment/>
    </xf>
    <xf numFmtId="0" fontId="36" fillId="0" borderId="0" xfId="0" applyFont="1" applyBorder="1" applyAlignment="1">
      <alignment/>
    </xf>
    <xf numFmtId="170" fontId="39" fillId="0" borderId="0" xfId="0" applyNumberFormat="1" applyFont="1" applyBorder="1" applyAlignment="1">
      <alignment/>
    </xf>
    <xf numFmtId="170" fontId="3" fillId="0" borderId="0" xfId="42" applyNumberFormat="1" applyFont="1" applyBorder="1" applyAlignment="1">
      <alignment/>
    </xf>
    <xf numFmtId="43" fontId="35" fillId="0" borderId="0" xfId="42" applyNumberFormat="1" applyFont="1" applyFill="1" applyBorder="1" applyAlignment="1" applyProtection="1">
      <alignment/>
      <protection/>
    </xf>
    <xf numFmtId="170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3" fontId="38" fillId="0" borderId="0" xfId="42" applyNumberFormat="1" applyFont="1" applyBorder="1" applyAlignment="1">
      <alignment/>
    </xf>
    <xf numFmtId="0" fontId="36" fillId="0" borderId="0" xfId="0" applyFont="1" applyAlignment="1">
      <alignment/>
    </xf>
    <xf numFmtId="43" fontId="39" fillId="0" borderId="0" xfId="42" applyNumberFormat="1" applyFont="1" applyAlignment="1">
      <alignment/>
    </xf>
    <xf numFmtId="170" fontId="0" fillId="0" borderId="0" xfId="42" applyAlignment="1">
      <alignment/>
    </xf>
    <xf numFmtId="0" fontId="33" fillId="0" borderId="0" xfId="0" applyFont="1" applyAlignment="1">
      <alignment/>
    </xf>
    <xf numFmtId="170" fontId="3" fillId="0" borderId="23" xfId="42" applyFont="1" applyBorder="1" applyAlignment="1">
      <alignment/>
    </xf>
    <xf numFmtId="170" fontId="3" fillId="0" borderId="0" xfId="42" applyFont="1" applyBorder="1" applyAlignment="1">
      <alignment/>
    </xf>
    <xf numFmtId="170" fontId="0" fillId="0" borderId="0" xfId="42" applyBorder="1" applyAlignment="1">
      <alignment/>
    </xf>
    <xf numFmtId="43" fontId="35" fillId="0" borderId="0" xfId="0" applyNumberFormat="1" applyFont="1" applyAlignment="1">
      <alignment/>
    </xf>
    <xf numFmtId="43" fontId="36" fillId="0" borderId="0" xfId="42" applyNumberFormat="1" applyFont="1" applyBorder="1" applyAlignment="1">
      <alignment/>
    </xf>
    <xf numFmtId="0" fontId="33" fillId="0" borderId="0" xfId="0" applyFont="1" applyAlignment="1">
      <alignment/>
    </xf>
    <xf numFmtId="170" fontId="37" fillId="0" borderId="33" xfId="42" applyFont="1" applyBorder="1" applyAlignment="1">
      <alignment/>
    </xf>
    <xf numFmtId="170" fontId="3" fillId="0" borderId="11" xfId="42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5" fillId="0" borderId="0" xfId="0" applyFont="1" applyBorder="1" applyAlignment="1">
      <alignment/>
    </xf>
    <xf numFmtId="170" fontId="40" fillId="0" borderId="34" xfId="42" applyFont="1" applyFill="1" applyBorder="1" applyAlignment="1" applyProtection="1">
      <alignment/>
      <protection/>
    </xf>
    <xf numFmtId="0" fontId="35" fillId="0" borderId="10" xfId="0" applyFont="1" applyBorder="1" applyAlignment="1">
      <alignment horizontal="left"/>
    </xf>
    <xf numFmtId="14" fontId="3" fillId="0" borderId="0" xfId="0" applyNumberFormat="1" applyFont="1" applyAlignment="1">
      <alignment/>
    </xf>
    <xf numFmtId="0" fontId="40" fillId="0" borderId="0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170" fontId="37" fillId="0" borderId="35" xfId="42" applyFont="1" applyBorder="1" applyAlignment="1">
      <alignment/>
    </xf>
    <xf numFmtId="0" fontId="40" fillId="0" borderId="0" xfId="0" applyFont="1" applyBorder="1" applyAlignment="1">
      <alignment horizontal="center"/>
    </xf>
    <xf numFmtId="170" fontId="3" fillId="0" borderId="0" xfId="42" applyFont="1" applyBorder="1" applyAlignment="1">
      <alignment/>
    </xf>
    <xf numFmtId="170" fontId="3" fillId="0" borderId="36" xfId="42" applyFont="1" applyFill="1" applyBorder="1" applyAlignment="1" applyProtection="1">
      <alignment/>
      <protection/>
    </xf>
    <xf numFmtId="0" fontId="41" fillId="0" borderId="3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0" fontId="0" fillId="0" borderId="10" xfId="42" applyBorder="1" applyAlignment="1">
      <alignment/>
    </xf>
    <xf numFmtId="0" fontId="41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1" fillId="0" borderId="38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3" fillId="0" borderId="39" xfId="0" applyFont="1" applyBorder="1" applyAlignment="1">
      <alignment/>
    </xf>
    <xf numFmtId="170" fontId="37" fillId="0" borderId="39" xfId="42" applyFont="1" applyBorder="1" applyAlignment="1">
      <alignment/>
    </xf>
    <xf numFmtId="170" fontId="37" fillId="0" borderId="14" xfId="42" applyFont="1" applyFill="1" applyBorder="1" applyAlignment="1" applyProtection="1">
      <alignment/>
      <protection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170" fontId="40" fillId="0" borderId="42" xfId="42" applyFont="1" applyFill="1" applyBorder="1" applyAlignment="1" applyProtection="1">
      <alignment/>
      <protection/>
    </xf>
    <xf numFmtId="170" fontId="40" fillId="0" borderId="43" xfId="42" applyFont="1" applyFill="1" applyBorder="1" applyAlignment="1" applyProtection="1">
      <alignment/>
      <protection/>
    </xf>
    <xf numFmtId="170" fontId="40" fillId="0" borderId="41" xfId="42" applyFont="1" applyFill="1" applyBorder="1" applyAlignment="1" applyProtection="1">
      <alignment/>
      <protection/>
    </xf>
    <xf numFmtId="170" fontId="40" fillId="0" borderId="44" xfId="42" applyFont="1" applyFill="1" applyBorder="1" applyAlignment="1" applyProtection="1">
      <alignment/>
      <protection/>
    </xf>
    <xf numFmtId="170" fontId="40" fillId="0" borderId="45" xfId="42" applyFont="1" applyFill="1" applyBorder="1" applyAlignment="1" applyProtection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40" fillId="0" borderId="0" xfId="0" applyFont="1" applyBorder="1" applyAlignment="1">
      <alignment horizontal="left" indent="2"/>
    </xf>
    <xf numFmtId="170" fontId="40" fillId="0" borderId="0" xfId="42" applyFont="1" applyBorder="1" applyAlignment="1">
      <alignment/>
    </xf>
    <xf numFmtId="0" fontId="39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170" fontId="40" fillId="0" borderId="23" xfId="42" applyFont="1" applyBorder="1" applyAlignment="1">
      <alignment/>
    </xf>
    <xf numFmtId="0" fontId="5" fillId="0" borderId="0" xfId="71" applyFont="1" applyFill="1" applyBorder="1" applyAlignment="1">
      <alignment wrapText="1"/>
      <protection/>
    </xf>
    <xf numFmtId="0" fontId="5" fillId="0" borderId="0" xfId="71" applyFont="1" applyFill="1" applyBorder="1" applyAlignment="1">
      <alignment horizontal="center" wrapText="1"/>
      <protection/>
    </xf>
    <xf numFmtId="0" fontId="0" fillId="0" borderId="0" xfId="71" applyFont="1" applyFill="1" applyBorder="1" applyAlignment="1">
      <alignment horizontal="left" wrapText="1" indent="1"/>
      <protection/>
    </xf>
    <xf numFmtId="170" fontId="0" fillId="0" borderId="23" xfId="42" applyFill="1" applyBorder="1" applyAlignment="1">
      <alignment wrapText="1"/>
    </xf>
    <xf numFmtId="170" fontId="3" fillId="0" borderId="0" xfId="42" applyFont="1" applyFill="1" applyBorder="1" applyAlignment="1">
      <alignment wrapText="1"/>
    </xf>
    <xf numFmtId="0" fontId="3" fillId="0" borderId="0" xfId="71" applyFont="1" applyFill="1" applyBorder="1" applyAlignment="1">
      <alignment horizontal="left" wrapText="1" indent="1"/>
      <protection/>
    </xf>
    <xf numFmtId="170" fontId="36" fillId="0" borderId="46" xfId="42" applyNumberFormat="1" applyFont="1" applyFill="1" applyBorder="1" applyAlignment="1" applyProtection="1">
      <alignment/>
      <protection/>
    </xf>
    <xf numFmtId="170" fontId="40" fillId="0" borderId="0" xfId="42" applyNumberFormat="1" applyFont="1" applyBorder="1" applyAlignment="1">
      <alignment/>
    </xf>
    <xf numFmtId="43" fontId="36" fillId="0" borderId="23" xfId="42" applyNumberFormat="1" applyFont="1" applyBorder="1" applyAlignment="1">
      <alignment/>
    </xf>
    <xf numFmtId="170" fontId="0" fillId="0" borderId="23" xfId="42" applyBorder="1" applyAlignment="1">
      <alignment/>
    </xf>
    <xf numFmtId="43" fontId="36" fillId="0" borderId="47" xfId="0" applyNumberFormat="1" applyFont="1" applyBorder="1" applyAlignment="1">
      <alignment/>
    </xf>
    <xf numFmtId="43" fontId="35" fillId="0" borderId="23" xfId="0" applyNumberFormat="1" applyFont="1" applyBorder="1" applyAlignment="1">
      <alignment/>
    </xf>
    <xf numFmtId="170" fontId="5" fillId="0" borderId="48" xfId="42" applyFont="1" applyBorder="1" applyAlignment="1">
      <alignment/>
    </xf>
    <xf numFmtId="0" fontId="5" fillId="0" borderId="0" xfId="69" applyFont="1" applyFill="1" applyAlignment="1">
      <alignment horizontal="left"/>
      <protection/>
    </xf>
    <xf numFmtId="0" fontId="0" fillId="0" borderId="0" xfId="69">
      <alignment/>
      <protection/>
    </xf>
    <xf numFmtId="0" fontId="5" fillId="0" borderId="0" xfId="69" applyFont="1" applyFill="1">
      <alignment/>
      <protection/>
    </xf>
    <xf numFmtId="0" fontId="5" fillId="0" borderId="0" xfId="69" applyFont="1" applyFill="1" applyBorder="1" applyAlignment="1">
      <alignment horizontal="left"/>
      <protection/>
    </xf>
    <xf numFmtId="0" fontId="6" fillId="0" borderId="0" xfId="69" applyFont="1" applyFill="1">
      <alignment/>
      <protection/>
    </xf>
    <xf numFmtId="0" fontId="5" fillId="0" borderId="0" xfId="69" applyFont="1" applyFill="1" applyBorder="1" applyAlignment="1" quotePrefix="1">
      <alignment horizontal="center"/>
      <protection/>
    </xf>
    <xf numFmtId="0" fontId="5" fillId="0" borderId="0" xfId="69" applyFont="1" applyFill="1" applyBorder="1" applyAlignment="1">
      <alignment horizontal="center"/>
      <protection/>
    </xf>
    <xf numFmtId="0" fontId="5" fillId="0" borderId="0" xfId="69" applyFont="1" applyFill="1" applyAlignment="1">
      <alignment horizontal="centerContinuous"/>
      <protection/>
    </xf>
    <xf numFmtId="0" fontId="5" fillId="0" borderId="0" xfId="69" applyFont="1" applyFill="1" applyBorder="1" applyAlignment="1" quotePrefix="1">
      <alignment horizontal="center" vertical="top"/>
      <protection/>
    </xf>
    <xf numFmtId="0" fontId="5" fillId="0" borderId="0" xfId="69" applyFont="1" applyFill="1" applyAlignment="1">
      <alignment horizontal="center"/>
      <protection/>
    </xf>
    <xf numFmtId="0" fontId="0" fillId="0" borderId="0" xfId="69" applyFont="1" applyFill="1" applyBorder="1" applyAlignment="1" quotePrefix="1">
      <alignment horizontal="center"/>
      <protection/>
    </xf>
    <xf numFmtId="0" fontId="0" fillId="0" borderId="0" xfId="69" applyFont="1" applyFill="1">
      <alignment/>
      <protection/>
    </xf>
    <xf numFmtId="0" fontId="0" fillId="0" borderId="0" xfId="69" applyFont="1" applyFill="1" applyAlignment="1">
      <alignment horizontal="left"/>
      <protection/>
    </xf>
    <xf numFmtId="0" fontId="0" fillId="0" borderId="0" xfId="69" applyFont="1" applyFill="1" applyBorder="1" applyAlignment="1" quotePrefix="1">
      <alignment horizontal="center" vertical="top"/>
      <protection/>
    </xf>
    <xf numFmtId="0" fontId="6" fillId="0" borderId="0" xfId="69" applyFont="1" applyFill="1" applyAlignment="1">
      <alignment horizontal="left" vertical="top" wrapText="1"/>
      <protection/>
    </xf>
    <xf numFmtId="0" fontId="0" fillId="0" borderId="0" xfId="69" applyFont="1" applyFill="1" applyAlignment="1" quotePrefix="1">
      <alignment horizont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Alignment="1">
      <alignment horizontal="left" vertical="top"/>
      <protection/>
    </xf>
    <xf numFmtId="0" fontId="0" fillId="0" borderId="0" xfId="69" applyFont="1" applyFill="1" applyBorder="1" applyAlignment="1">
      <alignment horizontal="left" vertical="top"/>
      <protection/>
    </xf>
    <xf numFmtId="0" fontId="0" fillId="0" borderId="0" xfId="69" applyFont="1" applyFill="1" applyBorder="1" applyAlignment="1">
      <alignment horizontal="left"/>
      <protection/>
    </xf>
    <xf numFmtId="0" fontId="0" fillId="0" borderId="0" xfId="69" applyFont="1" applyFill="1" applyAlignment="1" quotePrefix="1">
      <alignment horizontal="center" vertical="top" wrapText="1"/>
      <protection/>
    </xf>
    <xf numFmtId="172" fontId="0" fillId="0" borderId="0" xfId="69" applyNumberFormat="1" applyFont="1" applyFill="1" applyAlignment="1" quotePrefix="1">
      <alignment horizontal="center" vertical="top"/>
      <protection/>
    </xf>
    <xf numFmtId="172" fontId="0" fillId="0" borderId="0" xfId="69" applyNumberFormat="1" applyFont="1" applyFill="1" applyAlignment="1" quotePrefix="1">
      <alignment horizontal="center"/>
      <protection/>
    </xf>
    <xf numFmtId="0" fontId="0" fillId="0" borderId="0" xfId="69" applyFont="1" applyFill="1" applyAlignment="1">
      <alignment horizontal="center"/>
      <protection/>
    </xf>
    <xf numFmtId="0" fontId="5" fillId="0" borderId="0" xfId="69" applyFont="1" applyFill="1" applyAlignment="1" quotePrefix="1">
      <alignment horizontal="left"/>
      <protection/>
    </xf>
    <xf numFmtId="0" fontId="5" fillId="0" borderId="0" xfId="69" applyFont="1" applyFill="1" applyAlignment="1">
      <alignment horizontal="left" vertical="top"/>
      <protection/>
    </xf>
    <xf numFmtId="0" fontId="0" fillId="0" borderId="0" xfId="69" applyFont="1" applyFill="1" applyAlignment="1">
      <alignment vertical="top" wrapText="1"/>
      <protection/>
    </xf>
    <xf numFmtId="0" fontId="5" fillId="0" borderId="0" xfId="69" applyFont="1" applyFill="1" applyBorder="1" applyAlignment="1" quotePrefix="1">
      <alignment horizontal="left"/>
      <protection/>
    </xf>
    <xf numFmtId="0" fontId="6" fillId="0" borderId="0" xfId="69" applyFont="1" applyFill="1" applyAlignment="1" quotePrefix="1">
      <alignment horizontal="left"/>
      <protection/>
    </xf>
    <xf numFmtId="0" fontId="0" fillId="0" borderId="0" xfId="69" applyFont="1" applyFill="1" applyAlignment="1" quotePrefix="1">
      <alignment horizontal="left"/>
      <protection/>
    </xf>
    <xf numFmtId="0" fontId="0" fillId="0" borderId="0" xfId="69" applyFont="1" applyFill="1" applyAlignment="1" quotePrefix="1">
      <alignment horizontal="center" vertical="top"/>
      <protection/>
    </xf>
    <xf numFmtId="0" fontId="6" fillId="0" borderId="0" xfId="69" applyFont="1" applyFill="1" applyAlignment="1">
      <alignment horizontal="left" wrapText="1"/>
      <protection/>
    </xf>
    <xf numFmtId="0" fontId="6" fillId="0" borderId="0" xfId="69" applyFont="1" applyFill="1" applyAlignment="1">
      <alignment horizontal="left"/>
      <protection/>
    </xf>
    <xf numFmtId="0" fontId="6" fillId="0" borderId="0" xfId="69" applyFont="1" applyFill="1" applyAlignment="1">
      <alignment horizontal="left" vertical="top" indent="1"/>
      <protection/>
    </xf>
    <xf numFmtId="0" fontId="5" fillId="0" borderId="0" xfId="69" applyFont="1" applyFill="1" applyBorder="1" applyAlignment="1" quotePrefix="1">
      <alignment horizontal="center" vertical="top" wrapText="1"/>
      <protection/>
    </xf>
    <xf numFmtId="0" fontId="0" fillId="0" borderId="0" xfId="69" applyFont="1" applyFill="1" applyAlignment="1" quotePrefix="1">
      <alignment horizontal="left" vertical="top"/>
      <protection/>
    </xf>
    <xf numFmtId="0" fontId="5" fillId="0" borderId="0" xfId="69" applyFont="1" applyFill="1" applyAlignment="1" quotePrefix="1">
      <alignment horizontal="center"/>
      <protection/>
    </xf>
    <xf numFmtId="0" fontId="0" fillId="0" borderId="0" xfId="69" applyFont="1" applyFill="1" applyAlignment="1">
      <alignment horizontal="left" vertical="top" indent="1"/>
      <protection/>
    </xf>
    <xf numFmtId="172" fontId="0" fillId="0" borderId="0" xfId="69" applyNumberFormat="1" applyFont="1" applyFill="1" applyAlignment="1" quotePrefix="1">
      <alignment horizontal="left" vertical="top" indent="1"/>
      <protection/>
    </xf>
    <xf numFmtId="0" fontId="0" fillId="0" borderId="0" xfId="69" applyFont="1" applyFill="1" applyBorder="1" applyAlignment="1">
      <alignment horizontal="left" vertical="top" indent="1"/>
      <protection/>
    </xf>
    <xf numFmtId="0" fontId="5" fillId="0" borderId="0" xfId="69" applyFont="1" applyFill="1" applyAlignment="1">
      <alignment horizontal="left" indent="2"/>
      <protection/>
    </xf>
    <xf numFmtId="0" fontId="0" fillId="0" borderId="0" xfId="69" applyFont="1" applyFill="1" applyAlignment="1">
      <alignment horizontal="left" indent="1"/>
      <protection/>
    </xf>
    <xf numFmtId="0" fontId="5" fillId="0" borderId="0" xfId="69" applyFont="1" applyFill="1" applyAlignment="1">
      <alignment horizontal="left" indent="3"/>
      <protection/>
    </xf>
    <xf numFmtId="0" fontId="5" fillId="0" borderId="0" xfId="69" applyFont="1" applyAlignment="1">
      <alignment/>
      <protection/>
    </xf>
    <xf numFmtId="0" fontId="5" fillId="0" borderId="0" xfId="69" applyFont="1" applyAlignment="1">
      <alignment horizontal="left" indent="1"/>
      <protection/>
    </xf>
    <xf numFmtId="0" fontId="0" fillId="0" borderId="0" xfId="69" applyFont="1" applyFill="1" applyBorder="1">
      <alignment/>
      <protection/>
    </xf>
    <xf numFmtId="0" fontId="0" fillId="0" borderId="0" xfId="69" applyFont="1" applyAlignment="1">
      <alignment/>
      <protection/>
    </xf>
    <xf numFmtId="0" fontId="5" fillId="0" borderId="0" xfId="69" applyFont="1" applyFill="1" applyBorder="1">
      <alignment/>
      <protection/>
    </xf>
    <xf numFmtId="0" fontId="5" fillId="0" borderId="0" xfId="69" applyFont="1">
      <alignment/>
      <protection/>
    </xf>
    <xf numFmtId="0" fontId="0" fillId="0" borderId="0" xfId="69" applyFont="1" applyAlignment="1">
      <alignment horizontal="left"/>
      <protection/>
    </xf>
    <xf numFmtId="0" fontId="0" fillId="0" borderId="0" xfId="69" applyFont="1" applyAlignment="1">
      <alignment horizontal="left" indent="1"/>
      <protection/>
    </xf>
    <xf numFmtId="0" fontId="0" fillId="35" borderId="0" xfId="69" applyFont="1" applyFill="1" applyAlignment="1">
      <alignment/>
      <protection/>
    </xf>
    <xf numFmtId="0" fontId="0" fillId="35" borderId="0" xfId="69" applyFont="1" applyFill="1" applyAlignment="1">
      <alignment horizontal="left"/>
      <protection/>
    </xf>
    <xf numFmtId="0" fontId="5" fillId="0" borderId="0" xfId="69" applyFont="1" applyFill="1" applyBorder="1" applyAlignment="1">
      <alignment horizontal="left" indent="1"/>
      <protection/>
    </xf>
    <xf numFmtId="0" fontId="5" fillId="0" borderId="0" xfId="69" applyFont="1" applyBorder="1" applyAlignment="1">
      <alignment horizontal="center"/>
      <protection/>
    </xf>
    <xf numFmtId="0" fontId="0" fillId="35" borderId="0" xfId="69" applyFont="1" applyFill="1" applyAlignment="1">
      <alignment horizontal="left" indent="1"/>
      <protection/>
    </xf>
    <xf numFmtId="0" fontId="0" fillId="0" borderId="0" xfId="69" applyFont="1" applyAlignment="1">
      <alignment horizontal="left" indent="2"/>
      <protection/>
    </xf>
    <xf numFmtId="0" fontId="0" fillId="0" borderId="0" xfId="69" applyFont="1" applyFill="1" applyBorder="1" applyAlignment="1">
      <alignment horizontal="left" indent="1"/>
      <protection/>
    </xf>
    <xf numFmtId="0" fontId="5" fillId="0" borderId="0" xfId="69" applyFont="1" applyAlignment="1">
      <alignment horizontal="left" indent="2"/>
      <protection/>
    </xf>
    <xf numFmtId="0" fontId="5" fillId="0" borderId="0" xfId="69" applyFont="1" applyAlignment="1">
      <alignment horizontal="left" indent="3"/>
      <protection/>
    </xf>
    <xf numFmtId="0" fontId="0" fillId="35" borderId="0" xfId="69" applyFont="1" applyFill="1" applyBorder="1" applyAlignment="1">
      <alignment horizontal="left" indent="1"/>
      <protection/>
    </xf>
    <xf numFmtId="0" fontId="0" fillId="0" borderId="0" xfId="69" applyFont="1" applyFill="1" applyBorder="1" applyAlignment="1">
      <alignment horizontal="left" indent="2"/>
      <protection/>
    </xf>
    <xf numFmtId="0" fontId="0" fillId="0" borderId="0" xfId="69" applyFont="1" applyBorder="1">
      <alignment/>
      <protection/>
    </xf>
    <xf numFmtId="0" fontId="5" fillId="0" borderId="0" xfId="69" applyFont="1" applyBorder="1">
      <alignment/>
      <protection/>
    </xf>
    <xf numFmtId="0" fontId="0" fillId="0" borderId="0" xfId="69" applyFont="1" applyBorder="1" applyAlignment="1">
      <alignment horizontal="center"/>
      <protection/>
    </xf>
    <xf numFmtId="170" fontId="0" fillId="0" borderId="0" xfId="42" applyFill="1" applyBorder="1" applyAlignment="1">
      <alignment horizontal="center"/>
    </xf>
    <xf numFmtId="170" fontId="0" fillId="0" borderId="23" xfId="42" applyFill="1" applyBorder="1" applyAlignment="1">
      <alignment horizontal="center"/>
    </xf>
    <xf numFmtId="170" fontId="0" fillId="0" borderId="0" xfId="42" applyFill="1" applyAlignment="1">
      <alignment horizontal="center"/>
    </xf>
    <xf numFmtId="170" fontId="0" fillId="0" borderId="47" xfId="42" applyFill="1" applyBorder="1" applyAlignment="1">
      <alignment horizontal="center"/>
    </xf>
    <xf numFmtId="170" fontId="0" fillId="0" borderId="49" xfId="42" applyFill="1" applyBorder="1" applyAlignment="1">
      <alignment horizontal="center"/>
    </xf>
    <xf numFmtId="170" fontId="5" fillId="0" borderId="23" xfId="42" applyFont="1" applyFill="1" applyBorder="1" applyAlignment="1">
      <alignment horizontal="center"/>
    </xf>
    <xf numFmtId="170" fontId="0" fillId="0" borderId="0" xfId="42" applyBorder="1" applyAlignment="1">
      <alignment horizontal="center"/>
    </xf>
    <xf numFmtId="170" fontId="0" fillId="0" borderId="23" xfId="42" applyBorder="1" applyAlignment="1">
      <alignment horizontal="center"/>
    </xf>
    <xf numFmtId="170" fontId="5" fillId="0" borderId="46" xfId="42" applyFont="1" applyBorder="1" applyAlignment="1">
      <alignment horizontal="center"/>
    </xf>
    <xf numFmtId="170" fontId="5" fillId="0" borderId="0" xfId="42" applyFont="1" applyBorder="1" applyAlignment="1">
      <alignment horizontal="center"/>
    </xf>
    <xf numFmtId="170" fontId="3" fillId="0" borderId="50" xfId="42" applyFont="1" applyFill="1" applyBorder="1" applyAlignment="1" applyProtection="1">
      <alignment/>
      <protection/>
    </xf>
    <xf numFmtId="170" fontId="0" fillId="0" borderId="0" xfId="42" applyAlignment="1">
      <alignment horizontal="center"/>
    </xf>
    <xf numFmtId="170" fontId="0" fillId="35" borderId="0" xfId="42" applyFill="1" applyAlignment="1">
      <alignment horizontal="center"/>
    </xf>
    <xf numFmtId="170" fontId="0" fillId="0" borderId="47" xfId="42" applyBorder="1" applyAlignment="1">
      <alignment horizontal="center"/>
    </xf>
    <xf numFmtId="170" fontId="5" fillId="0" borderId="23" xfId="42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70" fontId="5" fillId="0" borderId="46" xfId="42" applyFont="1" applyFill="1" applyBorder="1" applyAlignment="1">
      <alignment horizontal="center"/>
    </xf>
    <xf numFmtId="170" fontId="0" fillId="0" borderId="51" xfId="42" applyFill="1" applyBorder="1" applyAlignment="1">
      <alignment horizontal="center"/>
    </xf>
    <xf numFmtId="170" fontId="0" fillId="0" borderId="23" xfId="42" applyFont="1" applyFill="1" applyBorder="1" applyAlignment="1">
      <alignment horizontal="center"/>
    </xf>
    <xf numFmtId="170" fontId="5" fillId="0" borderId="0" xfId="42" applyFont="1" applyFill="1" applyBorder="1" applyAlignment="1">
      <alignment horizontal="center"/>
    </xf>
    <xf numFmtId="170" fontId="5" fillId="0" borderId="48" xfId="42" applyFont="1" applyFill="1" applyBorder="1" applyAlignment="1">
      <alignment horizontal="center"/>
    </xf>
    <xf numFmtId="170" fontId="0" fillId="0" borderId="0" xfId="42" applyFont="1" applyBorder="1" applyAlignment="1">
      <alignment horizontal="center"/>
    </xf>
    <xf numFmtId="0" fontId="0" fillId="0" borderId="0" xfId="69" applyFont="1" applyBorder="1" applyAlignment="1">
      <alignment horizontal="left" indent="1"/>
      <protection/>
    </xf>
    <xf numFmtId="170" fontId="0" fillId="0" borderId="23" xfId="42" applyFont="1" applyBorder="1" applyAlignment="1">
      <alignment horizontal="center"/>
    </xf>
    <xf numFmtId="0" fontId="5" fillId="0" borderId="0" xfId="69" applyFont="1" applyBorder="1" applyAlignment="1">
      <alignment horizontal="left"/>
      <protection/>
    </xf>
    <xf numFmtId="170" fontId="0" fillId="0" borderId="47" xfId="42" applyFont="1" applyFill="1" applyBorder="1" applyAlignment="1">
      <alignment horizontal="center"/>
    </xf>
    <xf numFmtId="170" fontId="0" fillId="0" borderId="0" xfId="42" applyFont="1" applyFill="1" applyBorder="1" applyAlignment="1">
      <alignment horizontal="center"/>
    </xf>
    <xf numFmtId="170" fontId="40" fillId="0" borderId="52" xfId="42" applyFont="1" applyFill="1" applyBorder="1" applyAlignment="1" applyProtection="1">
      <alignment/>
      <protection/>
    </xf>
    <xf numFmtId="0" fontId="39" fillId="0" borderId="2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56" xfId="0" applyFont="1" applyBorder="1" applyAlignment="1">
      <alignment/>
    </xf>
    <xf numFmtId="170" fontId="40" fillId="0" borderId="56" xfId="0" applyNumberFormat="1" applyFont="1" applyBorder="1" applyAlignment="1">
      <alignment/>
    </xf>
    <xf numFmtId="170" fontId="40" fillId="0" borderId="45" xfId="0" applyNumberFormat="1" applyFont="1" applyBorder="1" applyAlignment="1">
      <alignment/>
    </xf>
    <xf numFmtId="170" fontId="5" fillId="0" borderId="47" xfId="42" applyFont="1" applyBorder="1" applyAlignment="1">
      <alignment/>
    </xf>
    <xf numFmtId="0" fontId="35" fillId="0" borderId="35" xfId="0" applyFont="1" applyBorder="1" applyAlignment="1">
      <alignment/>
    </xf>
    <xf numFmtId="0" fontId="42" fillId="0" borderId="36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0" fontId="37" fillId="0" borderId="60" xfId="42" applyFont="1" applyBorder="1" applyAlignment="1">
      <alignment/>
    </xf>
    <xf numFmtId="170" fontId="5" fillId="0" borderId="0" xfId="69" applyNumberFormat="1" applyFont="1" applyFill="1" applyBorder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69" applyAlignment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47" xfId="42" applyBorder="1" applyAlignment="1">
      <alignment/>
    </xf>
    <xf numFmtId="170" fontId="5" fillId="0" borderId="46" xfId="42" applyFont="1" applyBorder="1" applyAlignment="1">
      <alignment/>
    </xf>
    <xf numFmtId="170" fontId="0" fillId="0" borderId="46" xfId="42" applyBorder="1" applyAlignment="1">
      <alignment/>
    </xf>
    <xf numFmtId="170" fontId="3" fillId="0" borderId="39" xfId="42" applyFont="1" applyBorder="1" applyAlignment="1">
      <alignment/>
    </xf>
    <xf numFmtId="0" fontId="3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0" fillId="36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170" fontId="3" fillId="0" borderId="11" xfId="42" applyFont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170" fontId="3" fillId="0" borderId="13" xfId="42" applyFont="1" applyBorder="1" applyAlignment="1">
      <alignment/>
    </xf>
    <xf numFmtId="170" fontId="3" fillId="0" borderId="10" xfId="42" applyFont="1" applyBorder="1" applyAlignment="1">
      <alignment/>
    </xf>
    <xf numFmtId="170" fontId="3" fillId="0" borderId="14" xfId="42" applyFont="1" applyBorder="1" applyAlignment="1">
      <alignment/>
    </xf>
    <xf numFmtId="170" fontId="3" fillId="0" borderId="12" xfId="42" applyFont="1" applyBorder="1" applyAlignment="1">
      <alignment/>
    </xf>
    <xf numFmtId="170" fontId="3" fillId="0" borderId="12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justify"/>
    </xf>
    <xf numFmtId="17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justify"/>
    </xf>
    <xf numFmtId="170" fontId="3" fillId="0" borderId="10" xfId="42" applyFont="1" applyBorder="1" applyAlignment="1">
      <alignment horizontal="center"/>
    </xf>
    <xf numFmtId="170" fontId="3" fillId="0" borderId="11" xfId="42" applyFont="1" applyBorder="1" applyAlignment="1">
      <alignment horizontal="center"/>
    </xf>
    <xf numFmtId="170" fontId="3" fillId="0" borderId="42" xfId="42" applyFont="1" applyFill="1" applyBorder="1" applyAlignment="1" applyProtection="1">
      <alignment/>
      <protection/>
    </xf>
    <xf numFmtId="170" fontId="3" fillId="0" borderId="43" xfId="42" applyFont="1" applyFill="1" applyBorder="1" applyAlignment="1" applyProtection="1">
      <alignment/>
      <protection/>
    </xf>
    <xf numFmtId="170" fontId="3" fillId="0" borderId="0" xfId="42" applyFont="1" applyAlignment="1">
      <alignment wrapText="1"/>
    </xf>
    <xf numFmtId="170" fontId="40" fillId="0" borderId="29" xfId="42" applyFont="1" applyBorder="1" applyAlignment="1">
      <alignment horizontal="center"/>
    </xf>
    <xf numFmtId="170" fontId="40" fillId="0" borderId="30" xfId="42" applyFont="1" applyBorder="1" applyAlignment="1">
      <alignment horizontal="center"/>
    </xf>
    <xf numFmtId="170" fontId="39" fillId="0" borderId="0" xfId="0" applyNumberFormat="1" applyFont="1" applyAlignment="1">
      <alignment/>
    </xf>
    <xf numFmtId="0" fontId="41" fillId="0" borderId="13" xfId="0" applyFont="1" applyBorder="1" applyAlignment="1">
      <alignment horizontal="center"/>
    </xf>
    <xf numFmtId="170" fontId="0" fillId="0" borderId="13" xfId="42" applyBorder="1" applyAlignment="1">
      <alignment/>
    </xf>
    <xf numFmtId="170" fontId="40" fillId="0" borderId="61" xfId="42" applyFont="1" applyFill="1" applyBorder="1" applyAlignment="1" applyProtection="1">
      <alignment/>
      <protection/>
    </xf>
    <xf numFmtId="0" fontId="37" fillId="0" borderId="0" xfId="0" applyFont="1" applyBorder="1" applyAlignment="1">
      <alignment/>
    </xf>
    <xf numFmtId="170" fontId="0" fillId="0" borderId="12" xfId="42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170" fontId="3" fillId="0" borderId="13" xfId="42" applyFont="1" applyFill="1" applyBorder="1" applyAlignment="1" applyProtection="1">
      <alignment/>
      <protection/>
    </xf>
    <xf numFmtId="0" fontId="41" fillId="0" borderId="62" xfId="0" applyFont="1" applyBorder="1" applyAlignment="1">
      <alignment horizontal="center"/>
    </xf>
    <xf numFmtId="170" fontId="37" fillId="0" borderId="13" xfId="42" applyFont="1" applyFill="1" applyBorder="1" applyAlignment="1" applyProtection="1">
      <alignment/>
      <protection/>
    </xf>
    <xf numFmtId="0" fontId="37" fillId="0" borderId="14" xfId="0" applyFont="1" applyBorder="1" applyAlignment="1">
      <alignment/>
    </xf>
    <xf numFmtId="170" fontId="37" fillId="0" borderId="14" xfId="0" applyNumberFormat="1" applyFont="1" applyBorder="1" applyAlignment="1">
      <alignment/>
    </xf>
    <xf numFmtId="170" fontId="0" fillId="0" borderId="14" xfId="42" applyFont="1" applyBorder="1" applyAlignment="1">
      <alignment/>
    </xf>
    <xf numFmtId="170" fontId="0" fillId="0" borderId="14" xfId="42" applyFont="1" applyFill="1" applyBorder="1" applyAlignment="1" applyProtection="1">
      <alignment/>
      <protection/>
    </xf>
    <xf numFmtId="170" fontId="3" fillId="0" borderId="14" xfId="42" applyFont="1" applyFill="1" applyBorder="1" applyAlignment="1" applyProtection="1">
      <alignment/>
      <protection/>
    </xf>
    <xf numFmtId="0" fontId="41" fillId="0" borderId="50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0" fontId="41" fillId="0" borderId="65" xfId="0" applyFont="1" applyBorder="1" applyAlignment="1">
      <alignment horizontal="center"/>
    </xf>
    <xf numFmtId="170" fontId="3" fillId="0" borderId="60" xfId="42" applyFont="1" applyFill="1" applyBorder="1" applyAlignment="1" applyProtection="1">
      <alignment/>
      <protection/>
    </xf>
    <xf numFmtId="0" fontId="3" fillId="0" borderId="27" xfId="0" applyFont="1" applyBorder="1" applyAlignment="1">
      <alignment/>
    </xf>
    <xf numFmtId="0" fontId="41" fillId="0" borderId="66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67" xfId="0" applyFont="1" applyBorder="1" applyAlignment="1">
      <alignment horizontal="center"/>
    </xf>
    <xf numFmtId="0" fontId="3" fillId="0" borderId="33" xfId="0" applyFont="1" applyBorder="1" applyAlignment="1">
      <alignment/>
    </xf>
    <xf numFmtId="170" fontId="0" fillId="0" borderId="33" xfId="42" applyBorder="1" applyAlignment="1">
      <alignment/>
    </xf>
    <xf numFmtId="170" fontId="0" fillId="0" borderId="33" xfId="42" applyBorder="1" applyAlignment="1">
      <alignment/>
    </xf>
    <xf numFmtId="43" fontId="3" fillId="0" borderId="0" xfId="0" applyNumberFormat="1" applyFont="1" applyAlignment="1">
      <alignment/>
    </xf>
    <xf numFmtId="170" fontId="0" fillId="0" borderId="33" xfId="42" applyFill="1" applyBorder="1" applyAlignment="1" applyProtection="1">
      <alignment/>
      <protection/>
    </xf>
    <xf numFmtId="43" fontId="39" fillId="0" borderId="0" xfId="0" applyNumberFormat="1" applyFont="1" applyAlignment="1">
      <alignment/>
    </xf>
    <xf numFmtId="170" fontId="40" fillId="0" borderId="48" xfId="42" applyFont="1" applyBorder="1" applyAlignment="1">
      <alignment/>
    </xf>
    <xf numFmtId="170" fontId="0" fillId="0" borderId="14" xfId="42" applyBorder="1" applyAlignment="1">
      <alignment/>
    </xf>
    <xf numFmtId="170" fontId="0" fillId="0" borderId="14" xfId="42" applyFill="1" applyBorder="1" applyAlignment="1" applyProtection="1">
      <alignment/>
      <protection/>
    </xf>
    <xf numFmtId="170" fontId="0" fillId="0" borderId="33" xfId="42" applyBorder="1" applyAlignment="1">
      <alignment horizontal="center"/>
    </xf>
    <xf numFmtId="0" fontId="51" fillId="0" borderId="0" xfId="70">
      <alignment/>
      <protection/>
    </xf>
    <xf numFmtId="183" fontId="70" fillId="0" borderId="0" xfId="52" applyFont="1" applyFill="1" applyAlignment="1">
      <alignment/>
    </xf>
    <xf numFmtId="183" fontId="71" fillId="0" borderId="0" xfId="52" applyFont="1" applyFill="1" applyAlignment="1">
      <alignment/>
    </xf>
    <xf numFmtId="0" fontId="40" fillId="0" borderId="0" xfId="69" applyFont="1" applyAlignment="1">
      <alignment/>
      <protection/>
    </xf>
    <xf numFmtId="0" fontId="40" fillId="0" borderId="0" xfId="69" applyFont="1">
      <alignment/>
      <protection/>
    </xf>
    <xf numFmtId="0" fontId="40" fillId="0" borderId="0" xfId="69" applyFont="1" applyAlignment="1">
      <alignment horizontal="left" indent="1"/>
      <protection/>
    </xf>
    <xf numFmtId="0" fontId="3" fillId="0" borderId="0" xfId="69" applyFont="1" applyAlignment="1">
      <alignment horizontal="left"/>
      <protection/>
    </xf>
    <xf numFmtId="0" fontId="3" fillId="0" borderId="0" xfId="69" applyFont="1" applyAlignment="1">
      <alignment horizontal="left" indent="1"/>
      <protection/>
    </xf>
    <xf numFmtId="170" fontId="3" fillId="0" borderId="23" xfId="42" applyFont="1" applyBorder="1" applyAlignment="1">
      <alignment horizontal="center"/>
    </xf>
    <xf numFmtId="170" fontId="3" fillId="0" borderId="0" xfId="42" applyFont="1" applyAlignment="1">
      <alignment horizontal="center"/>
    </xf>
    <xf numFmtId="0" fontId="40" fillId="0" borderId="0" xfId="69" applyFont="1" applyAlignment="1">
      <alignment horizontal="left" indent="2"/>
      <protection/>
    </xf>
    <xf numFmtId="0" fontId="40" fillId="0" borderId="0" xfId="69" applyFont="1" applyAlignment="1">
      <alignment horizontal="left" indent="3"/>
      <protection/>
    </xf>
    <xf numFmtId="170" fontId="40" fillId="0" borderId="23" xfId="42" applyFont="1" applyBorder="1" applyAlignment="1">
      <alignment horizontal="center"/>
    </xf>
    <xf numFmtId="0" fontId="3" fillId="0" borderId="0" xfId="69" applyFont="1" applyFill="1" applyBorder="1" applyAlignment="1">
      <alignment horizontal="left" indent="1"/>
      <protection/>
    </xf>
    <xf numFmtId="0" fontId="3" fillId="0" borderId="0" xfId="69" applyFont="1" applyFill="1" applyAlignment="1">
      <alignment horizontal="left" indent="1"/>
      <protection/>
    </xf>
    <xf numFmtId="0" fontId="3" fillId="0" borderId="0" xfId="69" applyFont="1" applyFill="1" applyAlignment="1">
      <alignment horizontal="left"/>
      <protection/>
    </xf>
    <xf numFmtId="0" fontId="3" fillId="35" borderId="0" xfId="69" applyFont="1" applyFill="1" applyBorder="1" applyAlignment="1">
      <alignment horizontal="left" indent="1"/>
      <protection/>
    </xf>
    <xf numFmtId="0" fontId="3" fillId="35" borderId="0" xfId="69" applyFont="1" applyFill="1" applyAlignment="1">
      <alignment horizontal="left" indent="1"/>
      <protection/>
    </xf>
    <xf numFmtId="170" fontId="3" fillId="35" borderId="0" xfId="42" applyFont="1" applyFill="1" applyAlignment="1">
      <alignment horizontal="center"/>
    </xf>
    <xf numFmtId="0" fontId="3" fillId="0" borderId="0" xfId="69" applyFont="1" applyFill="1" applyBorder="1">
      <alignment/>
      <protection/>
    </xf>
    <xf numFmtId="0" fontId="3" fillId="0" borderId="0" xfId="69" applyFont="1" applyAlignment="1">
      <alignment/>
      <protection/>
    </xf>
    <xf numFmtId="0" fontId="40" fillId="0" borderId="0" xfId="69" applyFont="1" applyFill="1" applyBorder="1" applyAlignment="1">
      <alignment horizontal="left" indent="1"/>
      <protection/>
    </xf>
    <xf numFmtId="0" fontId="3" fillId="0" borderId="0" xfId="69" applyFont="1" applyFill="1" applyBorder="1" applyAlignment="1">
      <alignment horizontal="left" indent="2"/>
      <protection/>
    </xf>
    <xf numFmtId="0" fontId="40" fillId="0" borderId="0" xfId="69" applyFont="1" applyFill="1" applyBorder="1">
      <alignment/>
      <protection/>
    </xf>
    <xf numFmtId="0" fontId="3" fillId="0" borderId="0" xfId="69" applyFont="1" applyAlignment="1">
      <alignment horizontal="left" indent="2"/>
      <protection/>
    </xf>
    <xf numFmtId="170" fontId="3" fillId="0" borderId="47" xfId="42" applyFont="1" applyBorder="1" applyAlignment="1">
      <alignment horizontal="center"/>
    </xf>
    <xf numFmtId="170" fontId="3" fillId="0" borderId="0" xfId="42" applyFont="1" applyBorder="1" applyAlignment="1">
      <alignment horizontal="center"/>
    </xf>
    <xf numFmtId="0" fontId="3" fillId="0" borderId="0" xfId="69" applyFont="1" applyFill="1" applyBorder="1" applyAlignment="1">
      <alignment horizontal="left"/>
      <protection/>
    </xf>
    <xf numFmtId="0" fontId="3" fillId="35" borderId="0" xfId="69" applyFont="1" applyFill="1" applyAlignment="1">
      <alignment horizontal="left"/>
      <protection/>
    </xf>
    <xf numFmtId="0" fontId="3" fillId="35" borderId="0" xfId="69" applyFont="1" applyFill="1" applyAlignment="1">
      <alignment/>
      <protection/>
    </xf>
    <xf numFmtId="170" fontId="40" fillId="0" borderId="46" xfId="42" applyFont="1" applyBorder="1" applyAlignment="1">
      <alignment horizontal="center"/>
    </xf>
    <xf numFmtId="0" fontId="72" fillId="0" borderId="0" xfId="70" applyFont="1">
      <alignment/>
      <protection/>
    </xf>
    <xf numFmtId="0" fontId="73" fillId="0" borderId="68" xfId="70" applyFont="1" applyBorder="1" applyAlignment="1">
      <alignment horizontal="center"/>
      <protection/>
    </xf>
    <xf numFmtId="0" fontId="73" fillId="0" borderId="69" xfId="70" applyFont="1" applyBorder="1" applyAlignment="1">
      <alignment horizontal="center"/>
      <protection/>
    </xf>
    <xf numFmtId="0" fontId="73" fillId="0" borderId="0" xfId="70" applyFont="1">
      <alignment/>
      <protection/>
    </xf>
    <xf numFmtId="0" fontId="74" fillId="0" borderId="0" xfId="70" applyFont="1">
      <alignment/>
      <protection/>
    </xf>
    <xf numFmtId="170" fontId="3" fillId="0" borderId="70" xfId="42" applyFont="1" applyFill="1" applyBorder="1" applyAlignment="1">
      <alignment/>
    </xf>
    <xf numFmtId="183" fontId="74" fillId="0" borderId="70" xfId="52" applyFont="1" applyFill="1" applyBorder="1" applyAlignment="1">
      <alignment/>
    </xf>
    <xf numFmtId="170" fontId="3" fillId="0" borderId="71" xfId="42" applyFont="1" applyFill="1" applyBorder="1" applyAlignment="1">
      <alignment/>
    </xf>
    <xf numFmtId="183" fontId="74" fillId="0" borderId="71" xfId="52" applyFont="1" applyFill="1" applyBorder="1" applyAlignment="1">
      <alignment/>
    </xf>
    <xf numFmtId="170" fontId="3" fillId="0" borderId="0" xfId="42" applyFont="1" applyFill="1" applyAlignment="1">
      <alignment/>
    </xf>
    <xf numFmtId="183" fontId="74" fillId="0" borderId="0" xfId="52" applyFont="1" applyFill="1" applyAlignment="1">
      <alignment/>
    </xf>
    <xf numFmtId="170" fontId="3" fillId="0" borderId="0" xfId="42" applyFont="1" applyFill="1" applyBorder="1" applyAlignment="1">
      <alignment/>
    </xf>
    <xf numFmtId="183" fontId="74" fillId="0" borderId="0" xfId="52" applyFont="1" applyFill="1" applyBorder="1" applyAlignment="1">
      <alignment/>
    </xf>
    <xf numFmtId="183" fontId="73" fillId="0" borderId="70" xfId="52" applyFont="1" applyFill="1" applyBorder="1" applyAlignment="1">
      <alignment/>
    </xf>
    <xf numFmtId="0" fontId="40" fillId="0" borderId="0" xfId="69" applyFont="1" applyBorder="1">
      <alignment/>
      <protection/>
    </xf>
    <xf numFmtId="0" fontId="40" fillId="0" borderId="0" xfId="69" applyFont="1" applyBorder="1" applyAlignment="1">
      <alignment horizontal="center"/>
      <protection/>
    </xf>
    <xf numFmtId="170" fontId="40" fillId="0" borderId="0" xfId="42" applyFont="1" applyBorder="1" applyAlignment="1">
      <alignment horizontal="center"/>
    </xf>
    <xf numFmtId="0" fontId="3" fillId="0" borderId="0" xfId="69" applyFont="1" applyBorder="1" applyAlignment="1">
      <alignment horizontal="left" indent="1"/>
      <protection/>
    </xf>
    <xf numFmtId="0" fontId="3" fillId="0" borderId="0" xfId="69" applyFont="1" applyBorder="1" applyAlignment="1">
      <alignment horizontal="center"/>
      <protection/>
    </xf>
    <xf numFmtId="0" fontId="40" fillId="0" borderId="0" xfId="69" applyFont="1" applyBorder="1" applyAlignment="1">
      <alignment horizontal="left"/>
      <protection/>
    </xf>
    <xf numFmtId="0" fontId="40" fillId="0" borderId="0" xfId="69" applyFont="1" applyFill="1" applyBorder="1" applyAlignment="1">
      <alignment horizontal="center"/>
      <protection/>
    </xf>
    <xf numFmtId="170" fontId="3" fillId="0" borderId="47" xfId="42" applyFont="1" applyFill="1" applyBorder="1" applyAlignment="1">
      <alignment horizontal="center"/>
    </xf>
    <xf numFmtId="170" fontId="3" fillId="0" borderId="0" xfId="42" applyFont="1" applyFill="1" applyBorder="1" applyAlignment="1">
      <alignment horizontal="center"/>
    </xf>
    <xf numFmtId="0" fontId="3" fillId="0" borderId="0" xfId="69" applyFont="1" applyBorder="1">
      <alignment/>
      <protection/>
    </xf>
    <xf numFmtId="0" fontId="40" fillId="0" borderId="0" xfId="69" applyFont="1" applyFill="1" applyBorder="1" applyAlignment="1">
      <alignment horizontal="left"/>
      <protection/>
    </xf>
    <xf numFmtId="0" fontId="3" fillId="0" borderId="0" xfId="69" applyFont="1">
      <alignment/>
      <protection/>
    </xf>
    <xf numFmtId="0" fontId="40" fillId="0" borderId="0" xfId="69" applyFont="1" applyFill="1" applyAlignment="1">
      <alignment horizontal="left"/>
      <protection/>
    </xf>
    <xf numFmtId="0" fontId="40" fillId="0" borderId="0" xfId="69" applyFont="1" applyFill="1" applyAlignment="1">
      <alignment horizontal="center"/>
      <protection/>
    </xf>
    <xf numFmtId="170" fontId="3" fillId="0" borderId="0" xfId="42" applyFont="1" applyFill="1" applyAlignment="1">
      <alignment horizontal="center"/>
    </xf>
    <xf numFmtId="0" fontId="40" fillId="0" borderId="0" xfId="69" applyFont="1" applyFill="1" applyBorder="1" applyAlignment="1" quotePrefix="1">
      <alignment horizontal="center" vertical="top"/>
      <protection/>
    </xf>
    <xf numFmtId="0" fontId="3" fillId="0" borderId="0" xfId="69" applyFont="1" applyFill="1" applyAlignment="1">
      <alignment horizontal="left" vertical="top" indent="1"/>
      <protection/>
    </xf>
    <xf numFmtId="0" fontId="3" fillId="0" borderId="0" xfId="69" applyFont="1" applyFill="1" applyAlignment="1">
      <alignment horizontal="center"/>
      <protection/>
    </xf>
    <xf numFmtId="0" fontId="3" fillId="0" borderId="0" xfId="69" applyFont="1" applyFill="1" applyBorder="1" applyAlignment="1">
      <alignment horizontal="left" vertical="top" indent="1"/>
      <protection/>
    </xf>
    <xf numFmtId="0" fontId="40" fillId="0" borderId="0" xfId="69" applyFont="1" applyFill="1" applyBorder="1" applyAlignment="1" quotePrefix="1">
      <alignment horizontal="center" vertical="top" wrapText="1"/>
      <protection/>
    </xf>
    <xf numFmtId="172" fontId="3" fillId="0" borderId="0" xfId="69" applyNumberFormat="1" applyFont="1" applyFill="1" applyAlignment="1" quotePrefix="1">
      <alignment horizontal="left" vertical="top" indent="1"/>
      <protection/>
    </xf>
    <xf numFmtId="0" fontId="40" fillId="0" borderId="0" xfId="69" applyFont="1" applyFill="1" applyBorder="1" applyAlignment="1" quotePrefix="1">
      <alignment horizontal="center"/>
      <protection/>
    </xf>
    <xf numFmtId="0" fontId="3" fillId="0" borderId="0" xfId="69" applyFont="1" applyFill="1" applyBorder="1" applyAlignment="1" quotePrefix="1">
      <alignment horizontal="center"/>
      <protection/>
    </xf>
    <xf numFmtId="0" fontId="40" fillId="0" borderId="0" xfId="69" applyFont="1" applyFill="1" applyAlignment="1">
      <alignment horizontal="left" indent="2"/>
      <protection/>
    </xf>
    <xf numFmtId="0" fontId="3" fillId="0" borderId="0" xfId="69" applyFont="1" applyFill="1">
      <alignment/>
      <protection/>
    </xf>
    <xf numFmtId="0" fontId="3" fillId="0" borderId="0" xfId="69" applyFont="1" applyFill="1" applyAlignment="1" quotePrefix="1">
      <alignment horizontal="center"/>
      <protection/>
    </xf>
    <xf numFmtId="0" fontId="3" fillId="0" borderId="0" xfId="69" applyFont="1" applyFill="1" applyAlignment="1" quotePrefix="1">
      <alignment horizontal="left" vertical="top"/>
      <protection/>
    </xf>
    <xf numFmtId="0" fontId="3" fillId="0" borderId="0" xfId="69" applyFont="1" applyFill="1" applyAlignment="1" quotePrefix="1">
      <alignment horizontal="left"/>
      <protection/>
    </xf>
    <xf numFmtId="0" fontId="40" fillId="0" borderId="0" xfId="69" applyFont="1" applyFill="1" applyAlignment="1">
      <alignment horizontal="left" indent="3"/>
      <protection/>
    </xf>
    <xf numFmtId="0" fontId="40" fillId="0" borderId="0" xfId="69" applyFont="1" applyFill="1" applyAlignment="1" quotePrefix="1">
      <alignment horizontal="left"/>
      <protection/>
    </xf>
    <xf numFmtId="0" fontId="40" fillId="0" borderId="0" xfId="69" applyFont="1" applyFill="1" applyAlignment="1" quotePrefix="1">
      <alignment horizontal="center"/>
      <protection/>
    </xf>
    <xf numFmtId="170" fontId="40" fillId="0" borderId="23" xfId="42" applyFont="1" applyFill="1" applyBorder="1" applyAlignment="1">
      <alignment horizontal="center"/>
    </xf>
    <xf numFmtId="170" fontId="3" fillId="0" borderId="23" xfId="42" applyFont="1" applyFill="1" applyBorder="1" applyAlignment="1">
      <alignment horizontal="center"/>
    </xf>
    <xf numFmtId="0" fontId="40" fillId="0" borderId="0" xfId="69" applyFont="1" applyFill="1">
      <alignment/>
      <protection/>
    </xf>
    <xf numFmtId="170" fontId="40" fillId="0" borderId="0" xfId="42" applyFont="1" applyFill="1" applyBorder="1" applyAlignment="1">
      <alignment horizontal="center"/>
    </xf>
    <xf numFmtId="0" fontId="40" fillId="0" borderId="0" xfId="69" applyFont="1" applyFill="1" applyBorder="1" applyAlignment="1" quotePrefix="1">
      <alignment horizontal="left"/>
      <protection/>
    </xf>
    <xf numFmtId="170" fontId="3" fillId="0" borderId="51" xfId="42" applyFont="1" applyFill="1" applyBorder="1" applyAlignment="1">
      <alignment horizontal="center"/>
    </xf>
    <xf numFmtId="0" fontId="40" fillId="0" borderId="0" xfId="69" applyFont="1" applyFill="1" applyAlignment="1">
      <alignment horizontal="centerContinuous"/>
      <protection/>
    </xf>
    <xf numFmtId="170" fontId="40" fillId="0" borderId="48" xfId="42" applyFont="1" applyFill="1" applyBorder="1" applyAlignment="1">
      <alignment horizontal="center"/>
    </xf>
    <xf numFmtId="0" fontId="40" fillId="0" borderId="0" xfId="69" applyFont="1" applyFill="1" applyAlignment="1">
      <alignment horizontal="left" vertical="top"/>
      <protection/>
    </xf>
    <xf numFmtId="172" fontId="3" fillId="0" borderId="0" xfId="69" applyNumberFormat="1" applyFont="1" applyFill="1" applyAlignment="1" quotePrefix="1">
      <alignment horizontal="center"/>
      <protection/>
    </xf>
    <xf numFmtId="0" fontId="3" fillId="0" borderId="0" xfId="69" applyFont="1" applyFill="1" applyAlignment="1">
      <alignment horizontal="left" vertical="top"/>
      <protection/>
    </xf>
    <xf numFmtId="0" fontId="3" fillId="0" borderId="0" xfId="69" applyFont="1" applyFill="1" applyBorder="1" applyAlignment="1" quotePrefix="1">
      <alignment horizontal="center" vertical="top"/>
      <protection/>
    </xf>
    <xf numFmtId="0" fontId="3" fillId="0" borderId="0" xfId="69" applyFont="1" applyFill="1" applyAlignment="1">
      <alignment vertical="top" wrapText="1"/>
      <protection/>
    </xf>
    <xf numFmtId="172" fontId="3" fillId="0" borderId="0" xfId="69" applyNumberFormat="1" applyFont="1" applyFill="1" applyAlignment="1" quotePrefix="1">
      <alignment horizontal="center" vertical="top"/>
      <protection/>
    </xf>
    <xf numFmtId="0" fontId="3" fillId="0" borderId="0" xfId="69" applyFont="1" applyFill="1" applyBorder="1" applyAlignment="1">
      <alignment horizontal="left" vertical="top"/>
      <protection/>
    </xf>
    <xf numFmtId="0" fontId="3" fillId="0" borderId="0" xfId="69" applyFont="1" applyFill="1" applyAlignment="1" quotePrefix="1">
      <alignment horizontal="center" vertical="top" wrapText="1"/>
      <protection/>
    </xf>
    <xf numFmtId="0" fontId="45" fillId="0" borderId="0" xfId="69" applyFont="1" applyFill="1">
      <alignment/>
      <protection/>
    </xf>
    <xf numFmtId="0" fontId="45" fillId="0" borderId="0" xfId="69" applyFont="1" applyFill="1" applyAlignment="1">
      <alignment horizontal="left" wrapText="1"/>
      <protection/>
    </xf>
    <xf numFmtId="170" fontId="3" fillId="0" borderId="49" xfId="42" applyFont="1" applyFill="1" applyBorder="1" applyAlignment="1">
      <alignment horizontal="center"/>
    </xf>
    <xf numFmtId="0" fontId="45" fillId="0" borderId="0" xfId="69" applyFont="1" applyFill="1" applyAlignment="1">
      <alignment horizontal="left" vertical="top" indent="1"/>
      <protection/>
    </xf>
    <xf numFmtId="0" fontId="45" fillId="0" borderId="0" xfId="69" applyFont="1" applyFill="1" applyAlignment="1">
      <alignment horizontal="left"/>
      <protection/>
    </xf>
    <xf numFmtId="0" fontId="45" fillId="0" borderId="0" xfId="69" applyFont="1" applyFill="1" applyAlignment="1">
      <alignment horizontal="left" vertical="top" wrapText="1"/>
      <protection/>
    </xf>
    <xf numFmtId="0" fontId="3" fillId="0" borderId="0" xfId="69" applyFont="1" applyFill="1" applyAlignment="1" quotePrefix="1">
      <alignment horizontal="center" vertical="top"/>
      <protection/>
    </xf>
    <xf numFmtId="0" fontId="45" fillId="0" borderId="0" xfId="69" applyFont="1" applyFill="1" applyAlignment="1" quotePrefix="1">
      <alignment horizontal="left"/>
      <protection/>
    </xf>
    <xf numFmtId="170" fontId="40" fillId="0" borderId="46" xfId="42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74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74" fillId="0" borderId="0" xfId="0" applyFont="1" applyBorder="1" applyAlignment="1">
      <alignment horizontal="right" wrapText="1"/>
    </xf>
    <xf numFmtId="0" fontId="7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3" fillId="0" borderId="72" xfId="0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right" wrapText="1"/>
    </xf>
    <xf numFmtId="0" fontId="74" fillId="0" borderId="23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4" fontId="3" fillId="0" borderId="47" xfId="0" applyNumberFormat="1" applyFont="1" applyBorder="1" applyAlignment="1">
      <alignment horizontal="right" wrapText="1"/>
    </xf>
    <xf numFmtId="0" fontId="0" fillId="0" borderId="47" xfId="0" applyFont="1" applyBorder="1" applyAlignment="1">
      <alignment wrapText="1"/>
    </xf>
    <xf numFmtId="0" fontId="73" fillId="0" borderId="23" xfId="0" applyFont="1" applyBorder="1" applyAlignment="1">
      <alignment horizontal="right" wrapText="1"/>
    </xf>
    <xf numFmtId="0" fontId="40" fillId="0" borderId="0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0" fontId="37" fillId="0" borderId="73" xfId="42" applyFont="1" applyBorder="1" applyAlignment="1">
      <alignment/>
    </xf>
    <xf numFmtId="170" fontId="37" fillId="0" borderId="74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0" fontId="40" fillId="0" borderId="75" xfId="42" applyFont="1" applyFill="1" applyBorder="1" applyAlignment="1" applyProtection="1">
      <alignment/>
      <protection/>
    </xf>
    <xf numFmtId="0" fontId="41" fillId="0" borderId="76" xfId="0" applyFont="1" applyBorder="1" applyAlignment="1">
      <alignment horizontal="center"/>
    </xf>
    <xf numFmtId="0" fontId="3" fillId="0" borderId="76" xfId="0" applyFont="1" applyBorder="1" applyAlignment="1">
      <alignment/>
    </xf>
    <xf numFmtId="170" fontId="37" fillId="0" borderId="76" xfId="42" applyFont="1" applyBorder="1" applyAlignment="1">
      <alignment/>
    </xf>
    <xf numFmtId="170" fontId="40" fillId="0" borderId="77" xfId="42" applyFont="1" applyFill="1" applyBorder="1" applyAlignment="1" applyProtection="1">
      <alignment/>
      <protection/>
    </xf>
    <xf numFmtId="170" fontId="37" fillId="0" borderId="33" xfId="42" applyFont="1" applyFill="1" applyBorder="1" applyAlignment="1" applyProtection="1">
      <alignment/>
      <protection/>
    </xf>
    <xf numFmtId="170" fontId="40" fillId="0" borderId="78" xfId="42" applyFont="1" applyFill="1" applyBorder="1" applyAlignment="1" applyProtection="1">
      <alignment/>
      <protection/>
    </xf>
    <xf numFmtId="170" fontId="40" fillId="0" borderId="49" xfId="42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62" xfId="0" applyFont="1" applyBorder="1" applyAlignment="1">
      <alignment horizontal="center"/>
    </xf>
    <xf numFmtId="170" fontId="3" fillId="0" borderId="60" xfId="42" applyFont="1" applyBorder="1" applyAlignment="1">
      <alignment/>
    </xf>
    <xf numFmtId="0" fontId="40" fillId="0" borderId="38" xfId="0" applyFont="1" applyBorder="1" applyAlignment="1">
      <alignment horizontal="center"/>
    </xf>
    <xf numFmtId="170" fontId="3" fillId="0" borderId="50" xfId="42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38" xfId="42" applyFont="1" applyBorder="1" applyAlignment="1">
      <alignment horizontal="center"/>
    </xf>
    <xf numFmtId="170" fontId="0" fillId="0" borderId="11" xfId="42" applyBorder="1" applyAlignment="1">
      <alignment/>
    </xf>
    <xf numFmtId="170" fontId="37" fillId="0" borderId="60" xfId="42" applyFont="1" applyFill="1" applyBorder="1" applyAlignment="1" applyProtection="1">
      <alignment/>
      <protection/>
    </xf>
    <xf numFmtId="43" fontId="37" fillId="0" borderId="10" xfId="42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170" fontId="37" fillId="0" borderId="79" xfId="42" applyFont="1" applyBorder="1" applyAlignment="1">
      <alignment/>
    </xf>
    <xf numFmtId="0" fontId="41" fillId="0" borderId="80" xfId="0" applyFont="1" applyBorder="1" applyAlignment="1">
      <alignment horizontal="center"/>
    </xf>
    <xf numFmtId="0" fontId="35" fillId="0" borderId="81" xfId="0" applyFont="1" applyBorder="1" applyAlignment="1">
      <alignment/>
    </xf>
    <xf numFmtId="0" fontId="42" fillId="0" borderId="39" xfId="0" applyFont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170" fontId="37" fillId="0" borderId="13" xfId="42" applyFont="1" applyFill="1" applyBorder="1" applyAlignment="1">
      <alignment/>
    </xf>
    <xf numFmtId="0" fontId="40" fillId="0" borderId="83" xfId="0" applyFont="1" applyBorder="1" applyAlignment="1">
      <alignment horizontal="center"/>
    </xf>
    <xf numFmtId="170" fontId="3" fillId="0" borderId="76" xfId="42" applyFont="1" applyBorder="1" applyAlignment="1">
      <alignment/>
    </xf>
    <xf numFmtId="170" fontId="3" fillId="0" borderId="79" xfId="42" applyFont="1" applyBorder="1" applyAlignment="1">
      <alignment/>
    </xf>
    <xf numFmtId="0" fontId="40" fillId="0" borderId="80" xfId="0" applyFont="1" applyBorder="1" applyAlignment="1">
      <alignment horizontal="center"/>
    </xf>
    <xf numFmtId="170" fontId="3" fillId="0" borderId="83" xfId="42" applyFont="1" applyBorder="1" applyAlignment="1">
      <alignment horizontal="center"/>
    </xf>
    <xf numFmtId="0" fontId="41" fillId="0" borderId="83" xfId="0" applyFont="1" applyBorder="1" applyAlignment="1">
      <alignment horizontal="center"/>
    </xf>
    <xf numFmtId="0" fontId="41" fillId="0" borderId="84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0" fillId="0" borderId="75" xfId="0" applyFont="1" applyBorder="1" applyAlignment="1">
      <alignment/>
    </xf>
    <xf numFmtId="170" fontId="5" fillId="0" borderId="75" xfId="42" applyFont="1" applyBorder="1" applyAlignment="1">
      <alignment/>
    </xf>
    <xf numFmtId="0" fontId="41" fillId="0" borderId="86" xfId="0" applyFont="1" applyBorder="1" applyAlignment="1">
      <alignment horizontal="center"/>
    </xf>
    <xf numFmtId="0" fontId="41" fillId="0" borderId="87" xfId="0" applyFont="1" applyBorder="1" applyAlignment="1">
      <alignment horizontal="center"/>
    </xf>
    <xf numFmtId="170" fontId="3" fillId="0" borderId="33" xfId="42" applyFont="1" applyBorder="1" applyAlignment="1">
      <alignment/>
    </xf>
    <xf numFmtId="170" fontId="0" fillId="0" borderId="0" xfId="42" applyFill="1" applyBorder="1" applyAlignment="1" applyProtection="1">
      <alignment/>
      <protection/>
    </xf>
    <xf numFmtId="170" fontId="0" fillId="0" borderId="12" xfId="42" applyFill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170" fontId="3" fillId="0" borderId="23" xfId="42" applyFont="1" applyFill="1" applyBorder="1" applyAlignment="1">
      <alignment wrapText="1"/>
    </xf>
    <xf numFmtId="43" fontId="5" fillId="0" borderId="0" xfId="69" applyNumberFormat="1" applyFont="1" applyFill="1" applyBorder="1" applyAlignment="1">
      <alignment horizontal="center" wrapText="1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69" applyFont="1" applyFill="1" applyAlignment="1">
      <alignment horizontal="left"/>
      <protection/>
    </xf>
    <xf numFmtId="170" fontId="40" fillId="0" borderId="47" xfId="42" applyFont="1" applyFill="1" applyBorder="1" applyAlignment="1">
      <alignment horizontal="center"/>
    </xf>
    <xf numFmtId="170" fontId="3" fillId="0" borderId="0" xfId="42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1" fillId="0" borderId="88" xfId="0" applyFont="1" applyBorder="1" applyAlignment="1">
      <alignment horizontal="center"/>
    </xf>
    <xf numFmtId="0" fontId="41" fillId="0" borderId="89" xfId="0" applyFont="1" applyBorder="1" applyAlignment="1">
      <alignment horizontal="center"/>
    </xf>
    <xf numFmtId="0" fontId="41" fillId="0" borderId="9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91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/>
    </xf>
    <xf numFmtId="0" fontId="41" fillId="0" borderId="93" xfId="0" applyFont="1" applyBorder="1" applyAlignment="1">
      <alignment horizontal="center"/>
    </xf>
    <xf numFmtId="0" fontId="41" fillId="0" borderId="91" xfId="0" applyFont="1" applyBorder="1" applyAlignment="1">
      <alignment horizontal="center"/>
    </xf>
    <xf numFmtId="0" fontId="41" fillId="0" borderId="9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71" applyFont="1" applyFill="1" applyBorder="1" applyAlignment="1">
      <alignment horizontal="left" wrapText="1" indent="1"/>
      <protection/>
    </xf>
    <xf numFmtId="0" fontId="5" fillId="0" borderId="0" xfId="69" applyFont="1" applyFill="1" applyAlignment="1">
      <alignment horizontal="left"/>
      <protection/>
    </xf>
    <xf numFmtId="0" fontId="33" fillId="0" borderId="0" xfId="0" applyFont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  <xf numFmtId="0" fontId="40" fillId="0" borderId="91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/>
    </xf>
    <xf numFmtId="0" fontId="40" fillId="0" borderId="90" xfId="0" applyFont="1" applyBorder="1" applyAlignment="1">
      <alignment horizontal="center"/>
    </xf>
    <xf numFmtId="0" fontId="40" fillId="0" borderId="88" xfId="0" applyFont="1" applyBorder="1" applyAlignment="1">
      <alignment horizontal="center"/>
    </xf>
    <xf numFmtId="170" fontId="40" fillId="0" borderId="89" xfId="42" applyFont="1" applyBorder="1" applyAlignment="1">
      <alignment horizontal="center"/>
    </xf>
    <xf numFmtId="170" fontId="40" fillId="0" borderId="90" xfId="42" applyFont="1" applyBorder="1" applyAlignment="1">
      <alignment horizontal="center"/>
    </xf>
    <xf numFmtId="0" fontId="40" fillId="0" borderId="95" xfId="0" applyFont="1" applyBorder="1" applyAlignment="1">
      <alignment horizontal="center"/>
    </xf>
    <xf numFmtId="0" fontId="40" fillId="0" borderId="58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/>
    </xf>
    <xf numFmtId="0" fontId="41" fillId="0" borderId="66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0" xfId="69" applyFont="1" applyFill="1" applyAlignment="1">
      <alignment horizontal="left"/>
      <protection/>
    </xf>
    <xf numFmtId="0" fontId="7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73" fillId="0" borderId="72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wrapText="1"/>
    </xf>
    <xf numFmtId="0" fontId="72" fillId="0" borderId="0" xfId="70" applyFont="1" applyFill="1" applyAlignment="1">
      <alignment horizontal="center"/>
      <protection/>
    </xf>
    <xf numFmtId="0" fontId="73" fillId="0" borderId="0" xfId="70" applyFont="1" applyFill="1" applyAlignment="1">
      <alignment horizontal="center"/>
      <protection/>
    </xf>
    <xf numFmtId="0" fontId="74" fillId="0" borderId="0" xfId="70" applyFont="1" applyFill="1" applyAlignment="1">
      <alignment horizontal="center"/>
      <protection/>
    </xf>
    <xf numFmtId="0" fontId="73" fillId="0" borderId="68" xfId="70" applyFont="1" applyFill="1" applyBorder="1" applyAlignment="1">
      <alignment horizontal="center"/>
      <protection/>
    </xf>
    <xf numFmtId="0" fontId="73" fillId="0" borderId="68" xfId="70" applyFont="1" applyFill="1" applyBorder="1" applyAlignment="1">
      <alignment horizontal="center" wrapText="1"/>
      <protection/>
    </xf>
    <xf numFmtId="0" fontId="73" fillId="0" borderId="97" xfId="70" applyFont="1" applyFill="1" applyBorder="1" applyAlignment="1">
      <alignment horizontal="center"/>
      <protection/>
    </xf>
    <xf numFmtId="0" fontId="73" fillId="0" borderId="71" xfId="70" applyFont="1" applyFill="1" applyBorder="1" applyAlignment="1">
      <alignment horizontal="center"/>
      <protection/>
    </xf>
    <xf numFmtId="0" fontId="73" fillId="0" borderId="98" xfId="70" applyFont="1" applyFill="1" applyBorder="1" applyAlignment="1">
      <alignment horizontal="center"/>
      <protection/>
    </xf>
    <xf numFmtId="0" fontId="73" fillId="0" borderId="99" xfId="70" applyFont="1" applyFill="1" applyBorder="1" applyAlignment="1">
      <alignment horizontal="center"/>
      <protection/>
    </xf>
    <xf numFmtId="0" fontId="73" fillId="0" borderId="100" xfId="70" applyFont="1" applyFill="1" applyBorder="1" applyAlignment="1">
      <alignment horizontal="center" wrapText="1"/>
      <protection/>
    </xf>
    <xf numFmtId="0" fontId="73" fillId="0" borderId="101" xfId="70" applyFont="1" applyFill="1" applyBorder="1" applyAlignment="1">
      <alignment horizontal="center" wrapText="1"/>
      <protection/>
    </xf>
    <xf numFmtId="0" fontId="73" fillId="0" borderId="70" xfId="70" applyFont="1" applyFill="1" applyBorder="1" applyAlignment="1">
      <alignment horizontal="center" wrapText="1"/>
      <protection/>
    </xf>
    <xf numFmtId="0" fontId="73" fillId="0" borderId="69" xfId="70" applyFont="1" applyFill="1" applyBorder="1" applyAlignment="1">
      <alignment horizont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cel_BuiltIn_Comma" xfId="52"/>
    <cellStyle name="Explanatory Text" xfId="53"/>
    <cellStyle name="Followed Hyperlink" xfId="54"/>
    <cellStyle name="Good" xfId="55"/>
    <cellStyle name="Grey" xfId="56"/>
    <cellStyle name="Heading" xfId="57"/>
    <cellStyle name="Heading 1" xfId="58"/>
    <cellStyle name="Heading 2" xfId="59"/>
    <cellStyle name="Heading 3" xfId="60"/>
    <cellStyle name="Heading 4" xfId="61"/>
    <cellStyle name="Heading1" xfId="62"/>
    <cellStyle name="Hyperlink" xfId="63"/>
    <cellStyle name="Input" xfId="64"/>
    <cellStyle name="Input [yellow]" xfId="65"/>
    <cellStyle name="Linked Cell" xfId="66"/>
    <cellStyle name="Neutral" xfId="67"/>
    <cellStyle name="Normal - Style1" xfId="68"/>
    <cellStyle name="Normal 2" xfId="69"/>
    <cellStyle name="Normal 2 2" xfId="70"/>
    <cellStyle name="Normal 3" xfId="71"/>
    <cellStyle name="Normal 4" xfId="72"/>
    <cellStyle name="Note" xfId="73"/>
    <cellStyle name="Output" xfId="74"/>
    <cellStyle name="Percent" xfId="75"/>
    <cellStyle name="Percent [2]" xfId="76"/>
    <cellStyle name="Result" xfId="77"/>
    <cellStyle name="Result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J%20101%20-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2020"/>
      <sheetName val="Feb 2020"/>
      <sheetName val="Mar 2020"/>
      <sheetName val="Apr 2020"/>
      <sheetName val="May 2020"/>
      <sheetName val="Jun 2020"/>
      <sheetName val="Jul 2020"/>
      <sheetName val="Aug 2020"/>
      <sheetName val="Sep 2020"/>
      <sheetName val="Oct 2020"/>
      <sheetName val="Nov 2020"/>
      <sheetName val="Dec 2020"/>
    </sheetNames>
    <sheetDataSet>
      <sheetData sheetId="2">
        <row r="13">
          <cell r="L13">
            <v>29200115</v>
          </cell>
        </row>
        <row r="14">
          <cell r="L14">
            <v>20208708.35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Q150"/>
  <sheetViews>
    <sheetView zoomScalePageLayoutView="0" workbookViewId="0" topLeftCell="A1">
      <selection activeCell="A7" sqref="A7:P7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12" width="17.7109375" style="30" hidden="1" customWidth="1"/>
    <col min="13" max="13" width="17.28125" style="30" hidden="1" customWidth="1"/>
    <col min="14" max="14" width="18.00390625" style="30" hidden="1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733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34"/>
      <c r="B10" s="35" t="s">
        <v>4</v>
      </c>
      <c r="C10" s="538" t="s">
        <v>566</v>
      </c>
      <c r="D10" s="539"/>
      <c r="E10" s="537" t="s">
        <v>49</v>
      </c>
      <c r="F10" s="537"/>
      <c r="G10" s="538" t="s">
        <v>54</v>
      </c>
      <c r="H10" s="539"/>
      <c r="I10" s="537" t="s">
        <v>48</v>
      </c>
      <c r="J10" s="537"/>
      <c r="K10" s="538" t="s">
        <v>57</v>
      </c>
      <c r="L10" s="539"/>
      <c r="M10" s="538" t="s">
        <v>50</v>
      </c>
      <c r="N10" s="539"/>
      <c r="O10" s="538" t="s">
        <v>640</v>
      </c>
      <c r="P10" s="539"/>
    </row>
    <row r="11" spans="1:16" ht="15.75">
      <c r="A11" s="36" t="s">
        <v>5</v>
      </c>
      <c r="B11" s="37" t="s">
        <v>6</v>
      </c>
      <c r="C11" s="36" t="s">
        <v>7</v>
      </c>
      <c r="D11" s="38" t="s">
        <v>8</v>
      </c>
      <c r="E11" s="39" t="s">
        <v>7</v>
      </c>
      <c r="F11" s="37" t="s">
        <v>8</v>
      </c>
      <c r="G11" s="36" t="s">
        <v>7</v>
      </c>
      <c r="H11" s="38" t="s">
        <v>8</v>
      </c>
      <c r="I11" s="39" t="s">
        <v>7</v>
      </c>
      <c r="J11" s="37" t="s">
        <v>8</v>
      </c>
      <c r="K11" s="36" t="s">
        <v>7</v>
      </c>
      <c r="L11" s="38" t="s">
        <v>8</v>
      </c>
      <c r="M11" s="36" t="s">
        <v>7</v>
      </c>
      <c r="N11" s="38" t="s">
        <v>8</v>
      </c>
      <c r="O11" s="254" t="s">
        <v>7</v>
      </c>
      <c r="P11" s="38" t="s">
        <v>8</v>
      </c>
    </row>
    <row r="12" spans="1:16" ht="13.5" customHeight="1">
      <c r="A12" s="40"/>
      <c r="B12" s="41"/>
      <c r="C12" s="40"/>
      <c r="D12" s="42"/>
      <c r="E12" s="252"/>
      <c r="F12" s="41"/>
      <c r="G12" s="40"/>
      <c r="H12" s="42"/>
      <c r="I12" s="252"/>
      <c r="J12" s="41"/>
      <c r="K12" s="40"/>
      <c r="L12" s="42"/>
      <c r="M12" s="40"/>
      <c r="N12" s="42"/>
      <c r="O12" s="40"/>
      <c r="P12" s="42"/>
    </row>
    <row r="13" spans="1:16" ht="12.75" customHeight="1">
      <c r="A13" s="4" t="s">
        <v>9</v>
      </c>
      <c r="B13" s="15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5"/>
      <c r="O13" s="23"/>
      <c r="P13" s="45"/>
    </row>
    <row r="14" spans="1:16" ht="12.75">
      <c r="A14" s="102" t="s">
        <v>678</v>
      </c>
      <c r="B14" s="262" t="s">
        <v>679</v>
      </c>
      <c r="C14" s="18">
        <v>1790</v>
      </c>
      <c r="D14" s="10"/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07">
        <v>0</v>
      </c>
      <c r="P14" s="10"/>
    </row>
    <row r="15" spans="1:16" s="29" customFormat="1" ht="12.75">
      <c r="A15" s="49" t="s">
        <v>101</v>
      </c>
      <c r="B15" s="262" t="s">
        <v>100</v>
      </c>
      <c r="C15" s="18">
        <v>35000</v>
      </c>
      <c r="D15" s="97"/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07">
        <v>20000</v>
      </c>
      <c r="P15" s="10"/>
    </row>
    <row r="16" spans="1:16" s="29" customFormat="1" ht="12.75">
      <c r="A16" s="49" t="s">
        <v>589</v>
      </c>
      <c r="B16" s="262" t="s">
        <v>230</v>
      </c>
      <c r="C16" s="18"/>
      <c r="D16" s="97"/>
      <c r="E16" s="6"/>
      <c r="F16" s="47"/>
      <c r="G16" s="13"/>
      <c r="H16" s="46"/>
      <c r="I16" s="6"/>
      <c r="J16" s="47"/>
      <c r="K16" s="13"/>
      <c r="L16" s="46"/>
      <c r="M16" s="13"/>
      <c r="N16" s="47"/>
      <c r="O16" s="107">
        <v>10504358.35</v>
      </c>
      <c r="P16" s="10"/>
    </row>
    <row r="17" spans="1:16" s="29" customFormat="1" ht="12.75">
      <c r="A17" s="49" t="s">
        <v>636</v>
      </c>
      <c r="B17" s="262" t="s">
        <v>590</v>
      </c>
      <c r="C17" s="18"/>
      <c r="D17" s="97"/>
      <c r="E17" s="6"/>
      <c r="F17" s="47"/>
      <c r="G17" s="13"/>
      <c r="H17" s="46"/>
      <c r="I17" s="6"/>
      <c r="J17" s="47"/>
      <c r="K17" s="13"/>
      <c r="L17" s="46"/>
      <c r="M17" s="13"/>
      <c r="N17" s="47"/>
      <c r="O17" s="107">
        <v>13855000</v>
      </c>
      <c r="P17" s="10"/>
    </row>
    <row r="18" spans="1:16" s="29" customFormat="1" ht="12.75">
      <c r="A18" s="49" t="s">
        <v>103</v>
      </c>
      <c r="B18" s="262" t="s">
        <v>102</v>
      </c>
      <c r="C18" s="18">
        <v>10502498.349999994</v>
      </c>
      <c r="D18" s="97"/>
      <c r="E18" s="9"/>
      <c r="F18" s="11"/>
      <c r="G18" s="14"/>
      <c r="H18" s="46"/>
      <c r="I18" s="9"/>
      <c r="J18" s="47"/>
      <c r="K18" s="14"/>
      <c r="L18" s="46"/>
      <c r="M18" s="14"/>
      <c r="N18" s="51"/>
      <c r="O18" s="107">
        <v>1061509.41</v>
      </c>
      <c r="P18" s="10"/>
    </row>
    <row r="19" spans="1:16" s="29" customFormat="1" ht="12.75">
      <c r="A19" s="49" t="s">
        <v>10</v>
      </c>
      <c r="B19" s="262" t="s">
        <v>104</v>
      </c>
      <c r="C19" s="18">
        <v>13855000</v>
      </c>
      <c r="D19" s="10"/>
      <c r="E19" s="9"/>
      <c r="F19" s="51"/>
      <c r="G19" s="14"/>
      <c r="H19" s="46"/>
      <c r="I19" s="9"/>
      <c r="J19" s="51"/>
      <c r="K19" s="14"/>
      <c r="L19" s="10"/>
      <c r="M19" s="14"/>
      <c r="N19" s="51"/>
      <c r="O19" s="107">
        <v>32013542.37</v>
      </c>
      <c r="P19" s="10"/>
    </row>
    <row r="20" spans="1:16" s="29" customFormat="1" ht="12.75">
      <c r="A20" s="49" t="s">
        <v>567</v>
      </c>
      <c r="B20" s="262" t="s">
        <v>568</v>
      </c>
      <c r="C20" s="18">
        <v>20000.000000000015</v>
      </c>
      <c r="D20" s="97"/>
      <c r="E20" s="9"/>
      <c r="F20" s="51"/>
      <c r="G20" s="14"/>
      <c r="H20" s="46"/>
      <c r="I20" s="9"/>
      <c r="J20" s="51"/>
      <c r="K20" s="14"/>
      <c r="L20" s="10"/>
      <c r="M20" s="14"/>
      <c r="N20" s="51"/>
      <c r="O20" s="107">
        <v>6925000</v>
      </c>
      <c r="P20" s="10"/>
    </row>
    <row r="21" spans="1:16" s="29" customFormat="1" ht="12.75">
      <c r="A21" s="49" t="s">
        <v>225</v>
      </c>
      <c r="B21" s="263" t="s">
        <v>226</v>
      </c>
      <c r="C21" s="18">
        <v>119025</v>
      </c>
      <c r="D21" s="97"/>
      <c r="E21" s="9"/>
      <c r="F21" s="51"/>
      <c r="G21" s="14"/>
      <c r="H21" s="46"/>
      <c r="I21" s="9"/>
      <c r="J21" s="51"/>
      <c r="K21" s="14"/>
      <c r="L21" s="10"/>
      <c r="M21" s="14"/>
      <c r="N21" s="51"/>
      <c r="O21" s="107">
        <v>0</v>
      </c>
      <c r="P21" s="10"/>
    </row>
    <row r="22" spans="1:16" s="29" customFormat="1" ht="12.75">
      <c r="A22" s="49" t="s">
        <v>11</v>
      </c>
      <c r="B22" s="262" t="s">
        <v>105</v>
      </c>
      <c r="C22" s="18">
        <v>181154.84999999998</v>
      </c>
      <c r="D22" s="10"/>
      <c r="E22" s="9"/>
      <c r="F22" s="51"/>
      <c r="G22" s="14"/>
      <c r="H22" s="46"/>
      <c r="I22" s="9"/>
      <c r="J22" s="51"/>
      <c r="K22" s="14"/>
      <c r="L22" s="10"/>
      <c r="M22" s="14"/>
      <c r="N22" s="51"/>
      <c r="O22" s="107">
        <v>30922.71</v>
      </c>
      <c r="P22" s="10"/>
    </row>
    <row r="23" spans="1:16" s="29" customFormat="1" ht="12.75">
      <c r="A23" s="74" t="s">
        <v>108</v>
      </c>
      <c r="B23" s="264" t="s">
        <v>106</v>
      </c>
      <c r="C23" s="18">
        <v>35000</v>
      </c>
      <c r="D23" s="97"/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107">
        <v>0</v>
      </c>
      <c r="P23" s="12"/>
    </row>
    <row r="24" spans="1:16" s="29" customFormat="1" ht="12.75">
      <c r="A24" s="49" t="s">
        <v>109</v>
      </c>
      <c r="B24" s="262" t="s">
        <v>107</v>
      </c>
      <c r="C24" s="18">
        <v>135419.91</v>
      </c>
      <c r="D24" s="97"/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07">
        <v>0</v>
      </c>
      <c r="P24" s="12"/>
    </row>
    <row r="25" spans="1:16" s="29" customFormat="1" ht="12.75">
      <c r="A25" s="49" t="s">
        <v>239</v>
      </c>
      <c r="B25" s="263" t="s">
        <v>240</v>
      </c>
      <c r="C25" s="18">
        <v>0</v>
      </c>
      <c r="D25" s="10"/>
      <c r="E25" s="9"/>
      <c r="F25" s="52"/>
      <c r="G25" s="14"/>
      <c r="H25" s="53"/>
      <c r="I25" s="9"/>
      <c r="J25" s="52"/>
      <c r="K25" s="14"/>
      <c r="L25" s="53"/>
      <c r="M25" s="14"/>
      <c r="N25" s="52"/>
      <c r="O25" s="107">
        <v>0</v>
      </c>
      <c r="P25" s="12"/>
    </row>
    <row r="26" spans="1:16" s="29" customFormat="1" ht="12.75">
      <c r="A26" s="49" t="s">
        <v>238</v>
      </c>
      <c r="B26" s="263" t="s">
        <v>231</v>
      </c>
      <c r="C26" s="18">
        <v>0</v>
      </c>
      <c r="D26" s="97"/>
      <c r="E26" s="9"/>
      <c r="F26" s="52"/>
      <c r="G26" s="14"/>
      <c r="H26" s="53"/>
      <c r="I26" s="9"/>
      <c r="J26" s="52"/>
      <c r="K26" s="14"/>
      <c r="L26" s="53"/>
      <c r="M26" s="14"/>
      <c r="N26" s="52"/>
      <c r="O26" s="107">
        <f aca="true" t="shared" si="0" ref="O26:O85">C26+E26+I26+M26-D26-F26-J26-N26+G26-H26+K26-L26</f>
        <v>0</v>
      </c>
      <c r="P26" s="12"/>
    </row>
    <row r="27" spans="1:16" s="29" customFormat="1" ht="12.75">
      <c r="A27" s="49" t="s">
        <v>534</v>
      </c>
      <c r="B27" s="263" t="s">
        <v>526</v>
      </c>
      <c r="C27" s="18">
        <v>0</v>
      </c>
      <c r="D27" s="97"/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07">
        <f t="shared" si="0"/>
        <v>0</v>
      </c>
      <c r="P27" s="12"/>
    </row>
    <row r="28" spans="1:16" s="29" customFormat="1" ht="12.75">
      <c r="A28" s="49" t="s">
        <v>529</v>
      </c>
      <c r="B28" s="263" t="s">
        <v>520</v>
      </c>
      <c r="C28" s="18">
        <v>0</v>
      </c>
      <c r="D28" s="10"/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07">
        <f t="shared" si="0"/>
        <v>0</v>
      </c>
      <c r="P28" s="12"/>
    </row>
    <row r="29" spans="1:16" s="29" customFormat="1" ht="12.75">
      <c r="A29" s="49" t="s">
        <v>213</v>
      </c>
      <c r="B29" s="262" t="s">
        <v>209</v>
      </c>
      <c r="C29" s="18">
        <v>50000</v>
      </c>
      <c r="D29" s="97"/>
      <c r="E29" s="9"/>
      <c r="F29" s="52"/>
      <c r="G29" s="14"/>
      <c r="H29" s="53"/>
      <c r="I29" s="9"/>
      <c r="J29" s="52"/>
      <c r="K29" s="14"/>
      <c r="L29" s="53"/>
      <c r="M29" s="14"/>
      <c r="N29" s="52"/>
      <c r="O29" s="107">
        <v>0</v>
      </c>
      <c r="P29" s="12"/>
    </row>
    <row r="30" spans="1:16" s="29" customFormat="1" ht="12.75">
      <c r="A30" s="49" t="s">
        <v>201</v>
      </c>
      <c r="B30" s="262" t="s">
        <v>200</v>
      </c>
      <c r="C30" s="18">
        <v>0</v>
      </c>
      <c r="D30" s="97"/>
      <c r="E30" s="9"/>
      <c r="F30" s="52"/>
      <c r="G30" s="14"/>
      <c r="H30" s="98"/>
      <c r="I30" s="9"/>
      <c r="J30" s="52"/>
      <c r="K30" s="14"/>
      <c r="L30" s="53"/>
      <c r="M30" s="14"/>
      <c r="N30" s="52"/>
      <c r="O30" s="107">
        <f t="shared" si="0"/>
        <v>0</v>
      </c>
      <c r="P30" s="12"/>
    </row>
    <row r="31" spans="1:16" s="29" customFormat="1" ht="12.75">
      <c r="A31" s="49" t="s">
        <v>202</v>
      </c>
      <c r="B31" s="262" t="s">
        <v>203</v>
      </c>
      <c r="C31" s="18">
        <v>0</v>
      </c>
      <c r="D31" s="10"/>
      <c r="E31" s="9"/>
      <c r="F31" s="52"/>
      <c r="G31" s="14"/>
      <c r="H31" s="98"/>
      <c r="I31" s="9"/>
      <c r="J31" s="52"/>
      <c r="K31" s="14"/>
      <c r="L31" s="53"/>
      <c r="M31" s="14"/>
      <c r="N31" s="52"/>
      <c r="O31" s="107">
        <f t="shared" si="0"/>
        <v>0</v>
      </c>
      <c r="P31" s="12"/>
    </row>
    <row r="32" spans="1:16" s="29" customFormat="1" ht="12.75">
      <c r="A32" s="49" t="s">
        <v>52</v>
      </c>
      <c r="B32" s="262" t="s">
        <v>110</v>
      </c>
      <c r="C32" s="18">
        <v>167000</v>
      </c>
      <c r="D32" s="97"/>
      <c r="E32" s="9"/>
      <c r="F32" s="52"/>
      <c r="G32" s="14"/>
      <c r="H32" s="53"/>
      <c r="I32" s="9"/>
      <c r="J32" s="52"/>
      <c r="K32" s="14"/>
      <c r="L32" s="53"/>
      <c r="M32" s="14"/>
      <c r="N32" s="52"/>
      <c r="O32" s="107">
        <v>0</v>
      </c>
      <c r="P32" s="12"/>
    </row>
    <row r="33" spans="1:16" s="29" customFormat="1" ht="12.75">
      <c r="A33" s="49" t="s">
        <v>12</v>
      </c>
      <c r="B33" s="262" t="s">
        <v>111</v>
      </c>
      <c r="C33" s="18">
        <v>652960</v>
      </c>
      <c r="D33" s="97"/>
      <c r="E33" s="9"/>
      <c r="F33" s="52"/>
      <c r="G33" s="14"/>
      <c r="H33" s="53"/>
      <c r="I33" s="9"/>
      <c r="J33" s="52"/>
      <c r="K33" s="14"/>
      <c r="L33" s="53"/>
      <c r="M33" s="14"/>
      <c r="N33" s="52"/>
      <c r="O33" s="107">
        <v>1633449.99</v>
      </c>
      <c r="P33" s="12"/>
    </row>
    <row r="34" spans="1:16" s="29" customFormat="1" ht="12.75">
      <c r="A34" s="49" t="s">
        <v>120</v>
      </c>
      <c r="B34" s="262" t="s">
        <v>112</v>
      </c>
      <c r="C34" s="18"/>
      <c r="D34" s="10">
        <v>304933.1</v>
      </c>
      <c r="E34" s="9"/>
      <c r="F34" s="52"/>
      <c r="G34" s="14"/>
      <c r="H34" s="53"/>
      <c r="I34" s="9"/>
      <c r="J34" s="52"/>
      <c r="K34" s="14"/>
      <c r="L34" s="53"/>
      <c r="M34" s="14"/>
      <c r="N34" s="52"/>
      <c r="O34" s="107"/>
      <c r="P34" s="12">
        <v>484689.81</v>
      </c>
    </row>
    <row r="35" spans="1:16" s="29" customFormat="1" ht="12.75">
      <c r="A35" s="49" t="s">
        <v>114</v>
      </c>
      <c r="B35" s="262" t="s">
        <v>113</v>
      </c>
      <c r="C35" s="18">
        <v>722078</v>
      </c>
      <c r="D35" s="97"/>
      <c r="E35" s="9"/>
      <c r="F35" s="52"/>
      <c r="G35" s="14"/>
      <c r="H35" s="53"/>
      <c r="I35" s="9"/>
      <c r="J35" s="52"/>
      <c r="K35" s="14"/>
      <c r="L35" s="53"/>
      <c r="M35" s="14"/>
      <c r="N35" s="52"/>
      <c r="O35" s="107">
        <v>1076609.2</v>
      </c>
      <c r="P35" s="12"/>
    </row>
    <row r="36" spans="1:16" s="29" customFormat="1" ht="12.75">
      <c r="A36" s="49" t="s">
        <v>115</v>
      </c>
      <c r="B36" s="262" t="s">
        <v>121</v>
      </c>
      <c r="C36" s="18"/>
      <c r="D36" s="97">
        <v>323874.81000000006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07"/>
      <c r="P36" s="12">
        <v>574842.01</v>
      </c>
    </row>
    <row r="37" spans="1:16" s="29" customFormat="1" ht="12.75">
      <c r="A37" s="49" t="s">
        <v>39</v>
      </c>
      <c r="B37" s="262" t="s">
        <v>117</v>
      </c>
      <c r="C37" s="18">
        <v>0</v>
      </c>
      <c r="D37" s="10"/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107">
        <f t="shared" si="0"/>
        <v>0</v>
      </c>
      <c r="P37" s="12"/>
    </row>
    <row r="38" spans="1:16" s="29" customFormat="1" ht="12.75">
      <c r="A38" s="49" t="s">
        <v>40</v>
      </c>
      <c r="B38" s="262" t="s">
        <v>116</v>
      </c>
      <c r="C38" s="18"/>
      <c r="D38" s="97"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107"/>
      <c r="P38" s="12">
        <f>D38+F38+J38+N38+H38-E38-G38-I38-M38+L38-K38</f>
        <v>0</v>
      </c>
    </row>
    <row r="39" spans="1:16" s="29" customFormat="1" ht="12.75">
      <c r="A39" s="49" t="s">
        <v>123</v>
      </c>
      <c r="B39" s="262" t="s">
        <v>124</v>
      </c>
      <c r="C39" s="18">
        <v>0</v>
      </c>
      <c r="D39" s="97"/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07">
        <f t="shared" si="0"/>
        <v>0</v>
      </c>
      <c r="P39" s="12"/>
    </row>
    <row r="40" spans="1:16" s="29" customFormat="1" ht="12.75">
      <c r="A40" s="49" t="s">
        <v>122</v>
      </c>
      <c r="B40" s="262" t="s">
        <v>125</v>
      </c>
      <c r="C40" s="18">
        <v>0</v>
      </c>
      <c r="D40" s="10"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07">
        <f t="shared" si="0"/>
        <v>0</v>
      </c>
      <c r="P40" s="12">
        <f>D40+F40+J40+N40+H40-E40-G40-I40-M40+L40-K40</f>
        <v>0</v>
      </c>
    </row>
    <row r="41" spans="1:16" s="29" customFormat="1" ht="12.75">
      <c r="A41" s="49" t="s">
        <v>530</v>
      </c>
      <c r="B41" s="262" t="s">
        <v>533</v>
      </c>
      <c r="C41" s="18">
        <v>40622</v>
      </c>
      <c r="D41" s="97"/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107">
        <f t="shared" si="0"/>
        <v>40622</v>
      </c>
      <c r="P41" s="12"/>
    </row>
    <row r="42" spans="1:16" s="29" customFormat="1" ht="12.75">
      <c r="A42" s="49" t="s">
        <v>531</v>
      </c>
      <c r="B42" s="262" t="s">
        <v>532</v>
      </c>
      <c r="C42" s="18"/>
      <c r="D42" s="97">
        <v>1607.95</v>
      </c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07"/>
      <c r="P42" s="12">
        <v>3215.9</v>
      </c>
    </row>
    <row r="43" spans="1:16" s="29" customFormat="1" ht="12.75">
      <c r="A43" s="49" t="s">
        <v>128</v>
      </c>
      <c r="B43" s="262" t="s">
        <v>130</v>
      </c>
      <c r="C43" s="18">
        <v>545970</v>
      </c>
      <c r="D43" s="10"/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07">
        <f t="shared" si="0"/>
        <v>545970</v>
      </c>
      <c r="P43" s="12"/>
    </row>
    <row r="44" spans="1:16" s="29" customFormat="1" ht="12.75">
      <c r="A44" s="49" t="s">
        <v>129</v>
      </c>
      <c r="B44" s="262" t="s">
        <v>131</v>
      </c>
      <c r="C44" s="18"/>
      <c r="D44" s="97">
        <v>265498.56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07"/>
      <c r="P44" s="12">
        <v>317871.06</v>
      </c>
    </row>
    <row r="45" spans="1:16" s="29" customFormat="1" ht="12.75">
      <c r="A45" s="49" t="s">
        <v>41</v>
      </c>
      <c r="B45" s="262" t="s">
        <v>126</v>
      </c>
      <c r="C45" s="18">
        <v>0</v>
      </c>
      <c r="D45" s="97"/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107">
        <f t="shared" si="0"/>
        <v>0</v>
      </c>
      <c r="P45" s="12"/>
    </row>
    <row r="46" spans="1:16" s="29" customFormat="1" ht="12.75">
      <c r="A46" s="49" t="s">
        <v>42</v>
      </c>
      <c r="B46" s="262" t="s">
        <v>127</v>
      </c>
      <c r="C46" s="18">
        <v>0</v>
      </c>
      <c r="D46" s="10">
        <v>0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107">
        <f t="shared" si="0"/>
        <v>0</v>
      </c>
      <c r="P46" s="12">
        <f>D46+F46+J46+N46+H46-E46-G46-I46-M46+L46-K46</f>
        <v>0</v>
      </c>
    </row>
    <row r="47" spans="1:16" s="29" customFormat="1" ht="12.75">
      <c r="A47" s="49" t="s">
        <v>13</v>
      </c>
      <c r="B47" s="262" t="s">
        <v>118</v>
      </c>
      <c r="C47" s="18">
        <v>675727.2000000001</v>
      </c>
      <c r="D47" s="97"/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07">
        <f t="shared" si="0"/>
        <v>675727.2000000001</v>
      </c>
      <c r="P47" s="12"/>
    </row>
    <row r="48" spans="1:16" s="29" customFormat="1" ht="12.75">
      <c r="A48" s="49" t="s">
        <v>14</v>
      </c>
      <c r="B48" s="262" t="s">
        <v>119</v>
      </c>
      <c r="C48" s="18"/>
      <c r="D48" s="97">
        <v>249861.28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07"/>
      <c r="P48" s="12">
        <v>314968.26</v>
      </c>
    </row>
    <row r="49" spans="1:16" s="29" customFormat="1" ht="12.75">
      <c r="A49" s="49" t="s">
        <v>680</v>
      </c>
      <c r="B49" s="262" t="s">
        <v>681</v>
      </c>
      <c r="C49" s="18"/>
      <c r="D49" s="22"/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107">
        <v>23362.56</v>
      </c>
      <c r="P49" s="12"/>
    </row>
    <row r="50" spans="1:16" s="29" customFormat="1" ht="12.75">
      <c r="A50" s="49" t="s">
        <v>683</v>
      </c>
      <c r="B50" s="262" t="s">
        <v>682</v>
      </c>
      <c r="C50" s="18"/>
      <c r="D50" s="22"/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07"/>
      <c r="P50" s="12">
        <v>22194.44</v>
      </c>
    </row>
    <row r="51" spans="1:16" s="29" customFormat="1" ht="12.75">
      <c r="A51" s="49" t="s">
        <v>559</v>
      </c>
      <c r="B51" s="262" t="s">
        <v>558</v>
      </c>
      <c r="C51" s="18">
        <v>13855000</v>
      </c>
      <c r="D51" s="10"/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07">
        <v>750000</v>
      </c>
      <c r="P51" s="12"/>
    </row>
    <row r="52" spans="1:16" s="29" customFormat="1" ht="12.75">
      <c r="A52" s="54" t="s">
        <v>15</v>
      </c>
      <c r="B52" s="262" t="s">
        <v>132</v>
      </c>
      <c r="C52" s="18">
        <v>255996.67999999996</v>
      </c>
      <c r="D52" s="97"/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07">
        <v>284233.7</v>
      </c>
      <c r="P52" s="12"/>
    </row>
    <row r="53" spans="1:17" s="29" customFormat="1" ht="12.75">
      <c r="A53" s="8"/>
      <c r="B53" s="249"/>
      <c r="C53" s="18">
        <v>0</v>
      </c>
      <c r="D53" s="97"/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07">
        <f t="shared" si="0"/>
        <v>0</v>
      </c>
      <c r="P53" s="12"/>
      <c r="Q53" s="55"/>
    </row>
    <row r="54" spans="1:17" s="29" customFormat="1" ht="12.75" customHeight="1">
      <c r="A54" s="7" t="s">
        <v>16</v>
      </c>
      <c r="B54" s="249"/>
      <c r="C54" s="18">
        <v>0</v>
      </c>
      <c r="D54" s="10"/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107">
        <f t="shared" si="0"/>
        <v>0</v>
      </c>
      <c r="P54" s="12"/>
      <c r="Q54" s="55"/>
    </row>
    <row r="55" spans="1:17" s="29" customFormat="1" ht="12.75" customHeight="1">
      <c r="A55" s="49" t="s">
        <v>31</v>
      </c>
      <c r="B55" s="262" t="s">
        <v>133</v>
      </c>
      <c r="C55" s="18"/>
      <c r="D55" s="97">
        <v>1381.1500000001397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07"/>
      <c r="P55" s="12">
        <v>1306774</v>
      </c>
      <c r="Q55" s="55"/>
    </row>
    <row r="56" spans="1:16" s="29" customFormat="1" ht="12.75">
      <c r="A56" s="49" t="s">
        <v>46</v>
      </c>
      <c r="B56" s="262" t="s">
        <v>134</v>
      </c>
      <c r="C56" s="18"/>
      <c r="D56" s="97">
        <v>446634.4300000004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07"/>
      <c r="P56" s="12">
        <v>204820.51</v>
      </c>
    </row>
    <row r="57" spans="1:16" s="29" customFormat="1" ht="12.75">
      <c r="A57" s="74" t="s">
        <v>45</v>
      </c>
      <c r="B57" s="264" t="s">
        <v>135</v>
      </c>
      <c r="C57" s="18"/>
      <c r="D57" s="10">
        <v>271006.4099999999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107"/>
      <c r="P57" s="12">
        <v>188405.71</v>
      </c>
    </row>
    <row r="58" spans="1:17" s="29" customFormat="1" ht="12.75">
      <c r="A58" s="49" t="s">
        <v>58</v>
      </c>
      <c r="B58" s="262" t="s">
        <v>136</v>
      </c>
      <c r="C58" s="18"/>
      <c r="D58" s="97">
        <v>4618.059999999994</v>
      </c>
      <c r="E58" s="9"/>
      <c r="F58" s="52"/>
      <c r="G58" s="14"/>
      <c r="H58" s="12"/>
      <c r="I58" s="9"/>
      <c r="J58" s="52"/>
      <c r="K58" s="14"/>
      <c r="L58" s="12"/>
      <c r="M58" s="14"/>
      <c r="N58" s="52"/>
      <c r="O58" s="107"/>
      <c r="P58" s="12">
        <v>1805.18</v>
      </c>
      <c r="Q58" s="55"/>
    </row>
    <row r="59" spans="1:17" s="29" customFormat="1" ht="12.75">
      <c r="A59" s="49" t="s">
        <v>47</v>
      </c>
      <c r="B59" s="262" t="s">
        <v>137</v>
      </c>
      <c r="C59" s="18"/>
      <c r="D59" s="97">
        <v>7854.700000000001</v>
      </c>
      <c r="E59" s="9"/>
      <c r="F59" s="52"/>
      <c r="G59" s="14"/>
      <c r="H59" s="12"/>
      <c r="I59" s="9"/>
      <c r="J59" s="52"/>
      <c r="K59" s="14"/>
      <c r="L59" s="12"/>
      <c r="M59" s="14"/>
      <c r="N59" s="52"/>
      <c r="O59" s="107"/>
      <c r="P59" s="12">
        <v>-568.88</v>
      </c>
      <c r="Q59" s="55"/>
    </row>
    <row r="60" spans="1:17" s="29" customFormat="1" ht="12.75">
      <c r="A60" s="74" t="s">
        <v>59</v>
      </c>
      <c r="B60" s="264" t="s">
        <v>138</v>
      </c>
      <c r="C60" s="18"/>
      <c r="D60" s="10">
        <v>-28185.449999999997</v>
      </c>
      <c r="E60" s="9"/>
      <c r="F60" s="52"/>
      <c r="G60" s="14"/>
      <c r="H60" s="12"/>
      <c r="I60" s="9"/>
      <c r="J60" s="52"/>
      <c r="K60" s="14"/>
      <c r="L60" s="12"/>
      <c r="M60" s="14"/>
      <c r="N60" s="52"/>
      <c r="O60" s="107"/>
      <c r="P60" s="12">
        <v>-119290.66</v>
      </c>
      <c r="Q60" s="55"/>
    </row>
    <row r="61" spans="1:17" s="29" customFormat="1" ht="12.75">
      <c r="A61" s="49" t="s">
        <v>17</v>
      </c>
      <c r="B61" s="262" t="s">
        <v>139</v>
      </c>
      <c r="C61" s="18"/>
      <c r="D61" s="97">
        <v>9.313225746154785E-10</v>
      </c>
      <c r="E61" s="9"/>
      <c r="F61" s="52"/>
      <c r="G61" s="14"/>
      <c r="H61" s="12"/>
      <c r="I61" s="9"/>
      <c r="J61" s="52"/>
      <c r="K61" s="14"/>
      <c r="L61" s="12"/>
      <c r="M61" s="14"/>
      <c r="N61" s="52"/>
      <c r="O61" s="107"/>
      <c r="P61" s="12">
        <f>D61+F61+J61+N61+H61-E61-G61-I61-M61+L61-K61</f>
        <v>9.313225746154785E-10</v>
      </c>
      <c r="Q61" s="55"/>
    </row>
    <row r="62" spans="1:16" s="29" customFormat="1" ht="12.75">
      <c r="A62" s="8"/>
      <c r="B62" s="249"/>
      <c r="C62" s="18"/>
      <c r="D62" s="97"/>
      <c r="E62" s="9"/>
      <c r="F62" s="52"/>
      <c r="G62" s="14"/>
      <c r="H62" s="12"/>
      <c r="I62" s="9"/>
      <c r="J62" s="52"/>
      <c r="K62" s="14"/>
      <c r="L62" s="12"/>
      <c r="M62" s="14"/>
      <c r="N62" s="52"/>
      <c r="O62" s="107"/>
      <c r="P62" s="12"/>
    </row>
    <row r="63" spans="1:16" s="29" customFormat="1" ht="12.75">
      <c r="A63" s="7" t="s">
        <v>32</v>
      </c>
      <c r="B63" s="249"/>
      <c r="C63" s="18"/>
      <c r="D63" s="10"/>
      <c r="E63" s="9"/>
      <c r="F63" s="52"/>
      <c r="G63" s="14"/>
      <c r="H63" s="12"/>
      <c r="I63" s="9"/>
      <c r="J63" s="52"/>
      <c r="K63" s="14"/>
      <c r="L63" s="12"/>
      <c r="M63" s="14"/>
      <c r="N63" s="52"/>
      <c r="O63" s="107"/>
      <c r="P63" s="12"/>
    </row>
    <row r="64" spans="1:17" s="29" customFormat="1" ht="12.75">
      <c r="A64" s="49" t="s">
        <v>18</v>
      </c>
      <c r="B64" s="262" t="s">
        <v>140</v>
      </c>
      <c r="C64" s="18"/>
      <c r="D64" s="97">
        <v>1464967.85</v>
      </c>
      <c r="E64" s="9"/>
      <c r="F64" s="52"/>
      <c r="G64" s="14"/>
      <c r="H64" s="12"/>
      <c r="I64" s="9"/>
      <c r="J64" s="52"/>
      <c r="K64" s="14"/>
      <c r="L64" s="12"/>
      <c r="M64" s="14">
        <v>235025169.06</v>
      </c>
      <c r="N64" s="14">
        <v>273561358.2</v>
      </c>
      <c r="O64" s="107"/>
      <c r="P64" s="12">
        <v>66140580.15</v>
      </c>
      <c r="Q64" s="55"/>
    </row>
    <row r="65" spans="1:16" s="29" customFormat="1" ht="12.75">
      <c r="A65" s="49" t="s">
        <v>142</v>
      </c>
      <c r="B65" s="249" t="s">
        <v>141</v>
      </c>
      <c r="C65" s="18"/>
      <c r="D65" s="97">
        <v>273561358.2</v>
      </c>
      <c r="E65" s="9"/>
      <c r="F65" s="52"/>
      <c r="G65" s="14"/>
      <c r="H65" s="12"/>
      <c r="I65" s="9"/>
      <c r="J65" s="52"/>
      <c r="K65" s="14"/>
      <c r="L65" s="12"/>
      <c r="M65" s="14">
        <v>273561358.2</v>
      </c>
      <c r="N65" s="14"/>
      <c r="O65" s="107"/>
      <c r="P65" s="12">
        <f>D65+F65+J65+N65+H65-E65-G65-I65-M65+L65-K65</f>
        <v>0</v>
      </c>
    </row>
    <row r="66" spans="1:16" s="29" customFormat="1" ht="13.5" thickBot="1">
      <c r="A66" s="49" t="s">
        <v>569</v>
      </c>
      <c r="B66" s="19"/>
      <c r="C66" s="18"/>
      <c r="D66" s="10"/>
      <c r="E66" s="9"/>
      <c r="F66" s="52"/>
      <c r="G66" s="14"/>
      <c r="H66" s="12"/>
      <c r="I66" s="9"/>
      <c r="J66" s="52"/>
      <c r="K66" s="14"/>
      <c r="L66" s="12"/>
      <c r="M66" s="14">
        <v>235025169.06</v>
      </c>
      <c r="N66" s="52">
        <v>235025169.06</v>
      </c>
      <c r="O66" s="107"/>
      <c r="P66" s="12"/>
    </row>
    <row r="67" spans="1:17" s="29" customFormat="1" ht="13.5" hidden="1" thickBot="1">
      <c r="A67" s="4" t="s">
        <v>19</v>
      </c>
      <c r="B67" s="21"/>
      <c r="C67" s="18"/>
      <c r="D67" s="97"/>
      <c r="E67" s="9"/>
      <c r="F67" s="52"/>
      <c r="G67" s="14"/>
      <c r="H67" s="12"/>
      <c r="I67" s="9"/>
      <c r="J67" s="52"/>
      <c r="K67" s="14"/>
      <c r="L67" s="12"/>
      <c r="M67" s="14"/>
      <c r="N67" s="52"/>
      <c r="O67" s="107"/>
      <c r="P67" s="12"/>
      <c r="Q67" s="251"/>
    </row>
    <row r="68" spans="1:17" s="29" customFormat="1" ht="13.5" hidden="1" thickBot="1">
      <c r="A68" s="23" t="s">
        <v>143</v>
      </c>
      <c r="B68" s="265" t="s">
        <v>144</v>
      </c>
      <c r="C68" s="18">
        <v>11076523.34</v>
      </c>
      <c r="D68" s="97"/>
      <c r="E68" s="9"/>
      <c r="F68" s="52"/>
      <c r="G68" s="14"/>
      <c r="H68" s="12"/>
      <c r="I68" s="9"/>
      <c r="J68" s="52"/>
      <c r="K68" s="14"/>
      <c r="L68" s="12"/>
      <c r="M68" s="52"/>
      <c r="N68" s="52">
        <v>11076523.34</v>
      </c>
      <c r="O68" s="107">
        <f t="shared" si="0"/>
        <v>0</v>
      </c>
      <c r="P68" s="12"/>
      <c r="Q68" s="251"/>
    </row>
    <row r="69" spans="1:17" s="29" customFormat="1" ht="13.5" hidden="1" thickBot="1">
      <c r="A69" s="23" t="s">
        <v>20</v>
      </c>
      <c r="B69" s="265" t="s">
        <v>145</v>
      </c>
      <c r="C69" s="18">
        <v>500000</v>
      </c>
      <c r="D69" s="10"/>
      <c r="E69" s="25"/>
      <c r="F69" s="26"/>
      <c r="G69" s="27"/>
      <c r="H69" s="28"/>
      <c r="I69" s="25"/>
      <c r="J69" s="26"/>
      <c r="K69" s="27"/>
      <c r="L69" s="28"/>
      <c r="M69" s="27"/>
      <c r="N69" s="26">
        <v>500000</v>
      </c>
      <c r="O69" s="107">
        <f t="shared" si="0"/>
        <v>0</v>
      </c>
      <c r="P69" s="12"/>
      <c r="Q69" s="251"/>
    </row>
    <row r="70" spans="1:17" s="29" customFormat="1" ht="13.5" hidden="1" thickBot="1">
      <c r="A70" s="23" t="s">
        <v>21</v>
      </c>
      <c r="B70" s="265" t="s">
        <v>146</v>
      </c>
      <c r="C70" s="18">
        <v>218909.09</v>
      </c>
      <c r="D70" s="97"/>
      <c r="E70" s="25"/>
      <c r="F70" s="26"/>
      <c r="G70" s="27"/>
      <c r="H70" s="28"/>
      <c r="I70" s="25"/>
      <c r="J70" s="26"/>
      <c r="K70" s="27"/>
      <c r="L70" s="28"/>
      <c r="M70" s="27"/>
      <c r="N70" s="26">
        <v>218909.09</v>
      </c>
      <c r="O70" s="107">
        <f t="shared" si="0"/>
        <v>0</v>
      </c>
      <c r="P70" s="28"/>
      <c r="Q70" s="251"/>
    </row>
    <row r="71" spans="1:17" s="29" customFormat="1" ht="13.5" hidden="1" thickBot="1">
      <c r="A71" s="23" t="s">
        <v>22</v>
      </c>
      <c r="B71" s="265" t="s">
        <v>147</v>
      </c>
      <c r="C71" s="18">
        <v>218909.09</v>
      </c>
      <c r="D71" s="97"/>
      <c r="E71" s="25"/>
      <c r="F71" s="26"/>
      <c r="G71" s="27"/>
      <c r="H71" s="28"/>
      <c r="I71" s="25"/>
      <c r="J71" s="26"/>
      <c r="K71" s="27"/>
      <c r="L71" s="28"/>
      <c r="M71" s="27"/>
      <c r="N71" s="26">
        <v>218909.09</v>
      </c>
      <c r="O71" s="107">
        <f t="shared" si="0"/>
        <v>0</v>
      </c>
      <c r="P71" s="28"/>
      <c r="Q71" s="251"/>
    </row>
    <row r="72" spans="1:17" s="29" customFormat="1" ht="13.5" hidden="1" thickBot="1">
      <c r="A72" s="23" t="s">
        <v>67</v>
      </c>
      <c r="B72" s="265" t="s">
        <v>527</v>
      </c>
      <c r="C72" s="18">
        <v>270000</v>
      </c>
      <c r="D72" s="10"/>
      <c r="E72" s="25"/>
      <c r="F72" s="26"/>
      <c r="G72" s="27"/>
      <c r="H72" s="28"/>
      <c r="I72" s="25"/>
      <c r="J72" s="26"/>
      <c r="K72" s="27"/>
      <c r="L72" s="28"/>
      <c r="M72" s="27"/>
      <c r="N72" s="26">
        <v>270000</v>
      </c>
      <c r="O72" s="107">
        <f t="shared" si="0"/>
        <v>0</v>
      </c>
      <c r="P72" s="28"/>
      <c r="Q72" s="251"/>
    </row>
    <row r="73" spans="1:17" s="29" customFormat="1" ht="13.5" hidden="1" thickBot="1">
      <c r="A73" s="23" t="s">
        <v>149</v>
      </c>
      <c r="B73" s="265" t="s">
        <v>148</v>
      </c>
      <c r="C73" s="18">
        <v>0</v>
      </c>
      <c r="D73" s="97"/>
      <c r="E73" s="25"/>
      <c r="F73" s="26"/>
      <c r="G73" s="27"/>
      <c r="H73" s="28"/>
      <c r="I73" s="25"/>
      <c r="J73" s="26"/>
      <c r="K73" s="27"/>
      <c r="L73" s="28"/>
      <c r="M73" s="27"/>
      <c r="N73" s="26">
        <v>0</v>
      </c>
      <c r="O73" s="107">
        <f t="shared" si="0"/>
        <v>0</v>
      </c>
      <c r="P73" s="28"/>
      <c r="Q73" s="251"/>
    </row>
    <row r="74" spans="1:17" s="29" customFormat="1" ht="13.5" hidden="1" thickBot="1">
      <c r="A74" s="23" t="s">
        <v>66</v>
      </c>
      <c r="B74" s="265" t="s">
        <v>150</v>
      </c>
      <c r="C74" s="18">
        <v>0</v>
      </c>
      <c r="D74" s="97"/>
      <c r="E74" s="25"/>
      <c r="F74" s="26"/>
      <c r="G74" s="27"/>
      <c r="H74" s="28"/>
      <c r="I74" s="25"/>
      <c r="J74" s="26"/>
      <c r="K74" s="27"/>
      <c r="L74" s="28"/>
      <c r="M74" s="27"/>
      <c r="N74" s="26">
        <v>0</v>
      </c>
      <c r="O74" s="107">
        <f t="shared" si="0"/>
        <v>0</v>
      </c>
      <c r="P74" s="28"/>
      <c r="Q74" s="251"/>
    </row>
    <row r="75" spans="1:17" s="29" customFormat="1" ht="13.5" hidden="1" thickBot="1">
      <c r="A75" s="23" t="s">
        <v>221</v>
      </c>
      <c r="B75" s="265" t="s">
        <v>537</v>
      </c>
      <c r="C75" s="18">
        <v>67566.66</v>
      </c>
      <c r="D75" s="10"/>
      <c r="E75" s="25"/>
      <c r="F75" s="26"/>
      <c r="G75" s="27"/>
      <c r="H75" s="28"/>
      <c r="I75" s="25"/>
      <c r="J75" s="26"/>
      <c r="K75" s="27"/>
      <c r="L75" s="28"/>
      <c r="M75" s="27"/>
      <c r="N75" s="26">
        <v>67566.66</v>
      </c>
      <c r="O75" s="107">
        <f t="shared" si="0"/>
        <v>0</v>
      </c>
      <c r="P75" s="28"/>
      <c r="Q75" s="251"/>
    </row>
    <row r="76" spans="1:17" s="29" customFormat="1" ht="13.5" hidden="1" thickBot="1">
      <c r="A76" s="23" t="s">
        <v>76</v>
      </c>
      <c r="B76" s="265" t="s">
        <v>153</v>
      </c>
      <c r="C76" s="18">
        <v>608443</v>
      </c>
      <c r="D76" s="97"/>
      <c r="E76" s="25"/>
      <c r="F76" s="26"/>
      <c r="G76" s="27"/>
      <c r="H76" s="28"/>
      <c r="I76" s="25"/>
      <c r="J76" s="26"/>
      <c r="K76" s="27"/>
      <c r="L76" s="28"/>
      <c r="M76" s="27"/>
      <c r="N76" s="26">
        <v>608443</v>
      </c>
      <c r="O76" s="107">
        <f t="shared" si="0"/>
        <v>0</v>
      </c>
      <c r="P76" s="28"/>
      <c r="Q76" s="251"/>
    </row>
    <row r="77" spans="1:17" s="29" customFormat="1" ht="13.5" hidden="1" thickBot="1">
      <c r="A77" s="23" t="s">
        <v>242</v>
      </c>
      <c r="B77" s="265" t="s">
        <v>234</v>
      </c>
      <c r="C77" s="18">
        <v>842083</v>
      </c>
      <c r="D77" s="97"/>
      <c r="E77" s="25"/>
      <c r="F77" s="26"/>
      <c r="G77" s="27"/>
      <c r="H77" s="28"/>
      <c r="I77" s="25"/>
      <c r="J77" s="26"/>
      <c r="K77" s="27"/>
      <c r="L77" s="28"/>
      <c r="M77" s="27"/>
      <c r="N77" s="26">
        <v>842083</v>
      </c>
      <c r="O77" s="107">
        <f t="shared" si="0"/>
        <v>0</v>
      </c>
      <c r="P77" s="28"/>
      <c r="Q77" s="251"/>
    </row>
    <row r="78" spans="1:17" s="29" customFormat="1" ht="13.5" hidden="1" thickBot="1">
      <c r="A78" s="23" t="s">
        <v>75</v>
      </c>
      <c r="B78" s="265" t="s">
        <v>152</v>
      </c>
      <c r="C78" s="18">
        <v>95000</v>
      </c>
      <c r="D78" s="10"/>
      <c r="E78" s="25"/>
      <c r="F78" s="26"/>
      <c r="G78" s="27"/>
      <c r="H78" s="28"/>
      <c r="I78" s="25"/>
      <c r="J78" s="26"/>
      <c r="K78" s="27"/>
      <c r="L78" s="28"/>
      <c r="M78" s="27"/>
      <c r="N78" s="26">
        <v>95000</v>
      </c>
      <c r="O78" s="107">
        <f t="shared" si="0"/>
        <v>0</v>
      </c>
      <c r="P78" s="28"/>
      <c r="Q78" s="251"/>
    </row>
    <row r="79" spans="1:17" s="29" customFormat="1" ht="13.5" hidden="1" thickBot="1">
      <c r="A79" s="23" t="s">
        <v>70</v>
      </c>
      <c r="B79" s="265" t="s">
        <v>151</v>
      </c>
      <c r="C79" s="18">
        <v>0</v>
      </c>
      <c r="D79" s="97"/>
      <c r="E79" s="25"/>
      <c r="F79" s="26"/>
      <c r="G79" s="27"/>
      <c r="H79" s="28"/>
      <c r="I79" s="25"/>
      <c r="J79" s="26"/>
      <c r="K79" s="27"/>
      <c r="L79" s="28"/>
      <c r="M79" s="27"/>
      <c r="N79" s="26">
        <v>0</v>
      </c>
      <c r="O79" s="107">
        <f t="shared" si="0"/>
        <v>0</v>
      </c>
      <c r="P79" s="28"/>
      <c r="Q79" s="251"/>
    </row>
    <row r="80" spans="1:17" s="29" customFormat="1" ht="13.5" hidden="1" thickBot="1">
      <c r="A80" s="23" t="s">
        <v>562</v>
      </c>
      <c r="B80" s="265" t="s">
        <v>563</v>
      </c>
      <c r="C80" s="18">
        <v>500000</v>
      </c>
      <c r="D80" s="97"/>
      <c r="E80" s="25"/>
      <c r="F80" s="26"/>
      <c r="G80" s="27"/>
      <c r="H80" s="28"/>
      <c r="I80" s="25"/>
      <c r="J80" s="26"/>
      <c r="K80" s="27"/>
      <c r="L80" s="28"/>
      <c r="M80" s="27"/>
      <c r="N80" s="26">
        <v>500000</v>
      </c>
      <c r="O80" s="107">
        <f t="shared" si="0"/>
        <v>0</v>
      </c>
      <c r="P80" s="28"/>
      <c r="Q80" s="251"/>
    </row>
    <row r="81" spans="1:17" s="29" customFormat="1" ht="13.5" hidden="1" thickBot="1">
      <c r="A81" s="23" t="s">
        <v>564</v>
      </c>
      <c r="B81" s="265" t="s">
        <v>565</v>
      </c>
      <c r="C81" s="18">
        <v>100000</v>
      </c>
      <c r="D81" s="10"/>
      <c r="E81" s="25"/>
      <c r="F81" s="26"/>
      <c r="G81" s="27"/>
      <c r="H81" s="28"/>
      <c r="I81" s="25"/>
      <c r="J81" s="26"/>
      <c r="K81" s="27"/>
      <c r="L81" s="28"/>
      <c r="M81" s="27"/>
      <c r="N81" s="26">
        <v>100000</v>
      </c>
      <c r="O81" s="107">
        <f t="shared" si="0"/>
        <v>0</v>
      </c>
      <c r="P81" s="28"/>
      <c r="Q81" s="251"/>
    </row>
    <row r="82" spans="1:17" s="29" customFormat="1" ht="13.5" hidden="1" thickBot="1">
      <c r="A82" s="23" t="s">
        <v>553</v>
      </c>
      <c r="B82" s="265" t="s">
        <v>554</v>
      </c>
      <c r="C82" s="18">
        <v>848824.95</v>
      </c>
      <c r="D82" s="97"/>
      <c r="E82" s="25"/>
      <c r="F82" s="26"/>
      <c r="G82" s="27"/>
      <c r="H82" s="28"/>
      <c r="I82" s="25"/>
      <c r="J82" s="26"/>
      <c r="K82" s="27"/>
      <c r="L82" s="28"/>
      <c r="M82" s="27"/>
      <c r="N82" s="26">
        <v>848824.95</v>
      </c>
      <c r="O82" s="107">
        <f t="shared" si="0"/>
        <v>0</v>
      </c>
      <c r="P82" s="28"/>
      <c r="Q82" s="251"/>
    </row>
    <row r="83" spans="1:17" s="29" customFormat="1" ht="13.5" hidden="1" thickBot="1">
      <c r="A83" s="23" t="s">
        <v>33</v>
      </c>
      <c r="B83" s="265" t="s">
        <v>154</v>
      </c>
      <c r="C83" s="18">
        <v>1484315.68</v>
      </c>
      <c r="D83" s="97"/>
      <c r="E83" s="25"/>
      <c r="F83" s="26"/>
      <c r="G83" s="27"/>
      <c r="H83" s="28"/>
      <c r="I83" s="25"/>
      <c r="J83" s="26"/>
      <c r="K83" s="27"/>
      <c r="L83" s="28"/>
      <c r="M83" s="27"/>
      <c r="N83" s="26">
        <v>1484315.68</v>
      </c>
      <c r="O83" s="107">
        <f t="shared" si="0"/>
        <v>0</v>
      </c>
      <c r="P83" s="28"/>
      <c r="Q83" s="251"/>
    </row>
    <row r="84" spans="1:17" s="29" customFormat="1" ht="13.5" hidden="1" thickBot="1">
      <c r="A84" s="23" t="s">
        <v>34</v>
      </c>
      <c r="B84" s="265" t="s">
        <v>155</v>
      </c>
      <c r="C84" s="18">
        <v>38654.54</v>
      </c>
      <c r="D84" s="10"/>
      <c r="E84" s="25"/>
      <c r="F84" s="26"/>
      <c r="G84" s="27"/>
      <c r="H84" s="28"/>
      <c r="I84" s="25"/>
      <c r="J84" s="26"/>
      <c r="K84" s="27"/>
      <c r="L84" s="28"/>
      <c r="M84" s="27"/>
      <c r="N84" s="26">
        <v>38654.54</v>
      </c>
      <c r="O84" s="107">
        <f t="shared" si="0"/>
        <v>0</v>
      </c>
      <c r="P84" s="28"/>
      <c r="Q84" s="251"/>
    </row>
    <row r="85" spans="1:17" s="29" customFormat="1" ht="13.5" hidden="1" thickBot="1">
      <c r="A85" s="23" t="s">
        <v>35</v>
      </c>
      <c r="B85" s="265" t="s">
        <v>156</v>
      </c>
      <c r="C85" s="18">
        <v>83395.3</v>
      </c>
      <c r="D85" s="97"/>
      <c r="E85" s="25"/>
      <c r="F85" s="26"/>
      <c r="G85" s="27"/>
      <c r="H85" s="28"/>
      <c r="I85" s="25"/>
      <c r="J85" s="26"/>
      <c r="K85" s="27"/>
      <c r="L85" s="28"/>
      <c r="M85" s="27"/>
      <c r="N85" s="26">
        <v>83395.3</v>
      </c>
      <c r="O85" s="107">
        <f t="shared" si="0"/>
        <v>0</v>
      </c>
      <c r="P85" s="28"/>
      <c r="Q85" s="251"/>
    </row>
    <row r="86" spans="1:17" s="29" customFormat="1" ht="13.5" hidden="1" thickBot="1">
      <c r="A86" s="23" t="s">
        <v>36</v>
      </c>
      <c r="B86" s="265" t="s">
        <v>157</v>
      </c>
      <c r="C86" s="18">
        <v>31100</v>
      </c>
      <c r="D86" s="97"/>
      <c r="E86" s="25"/>
      <c r="F86" s="26"/>
      <c r="G86" s="27"/>
      <c r="H86" s="28"/>
      <c r="I86" s="25"/>
      <c r="J86" s="26"/>
      <c r="K86" s="27"/>
      <c r="L86" s="28"/>
      <c r="M86" s="27"/>
      <c r="N86" s="26">
        <v>31100</v>
      </c>
      <c r="O86" s="107">
        <f aca="true" t="shared" si="1" ref="O86:O146">C86+E86+I86+M86-D86-F86-J86-N86+G86-H86+K86-L86</f>
        <v>0</v>
      </c>
      <c r="P86" s="28"/>
      <c r="Q86" s="251"/>
    </row>
    <row r="87" spans="1:17" s="29" customFormat="1" ht="13.5" hidden="1" thickBot="1">
      <c r="A87" s="23" t="s">
        <v>208</v>
      </c>
      <c r="B87" s="265" t="s">
        <v>207</v>
      </c>
      <c r="C87" s="18">
        <v>0</v>
      </c>
      <c r="D87" s="10"/>
      <c r="E87" s="25"/>
      <c r="F87" s="26"/>
      <c r="G87" s="27"/>
      <c r="H87" s="28"/>
      <c r="I87" s="25"/>
      <c r="J87" s="26"/>
      <c r="K87" s="27"/>
      <c r="L87" s="28"/>
      <c r="M87" s="27"/>
      <c r="N87" s="26">
        <v>0</v>
      </c>
      <c r="O87" s="107">
        <f t="shared" si="1"/>
        <v>0</v>
      </c>
      <c r="P87" s="28"/>
      <c r="Q87" s="251"/>
    </row>
    <row r="88" spans="1:17" s="29" customFormat="1" ht="13.5" hidden="1" thickBot="1">
      <c r="A88" s="23" t="s">
        <v>98</v>
      </c>
      <c r="B88" s="265" t="s">
        <v>555</v>
      </c>
      <c r="C88" s="18">
        <v>1693232.6400000001</v>
      </c>
      <c r="D88" s="97"/>
      <c r="E88" s="25"/>
      <c r="F88" s="26"/>
      <c r="G88" s="27"/>
      <c r="H88" s="28"/>
      <c r="I88" s="25"/>
      <c r="J88" s="26"/>
      <c r="K88" s="27"/>
      <c r="L88" s="28"/>
      <c r="M88" s="27"/>
      <c r="N88" s="26">
        <v>1693232.6400000001</v>
      </c>
      <c r="O88" s="107">
        <f t="shared" si="1"/>
        <v>0</v>
      </c>
      <c r="P88" s="28"/>
      <c r="Q88" s="251"/>
    </row>
    <row r="89" spans="1:17" s="29" customFormat="1" ht="13.5" hidden="1" thickBot="1">
      <c r="A89" s="23" t="s">
        <v>28</v>
      </c>
      <c r="B89" s="265" t="s">
        <v>158</v>
      </c>
      <c r="C89" s="18">
        <v>2008810.24</v>
      </c>
      <c r="D89" s="97"/>
      <c r="E89" s="25"/>
      <c r="F89" s="26"/>
      <c r="G89" s="27"/>
      <c r="H89" s="28"/>
      <c r="I89" s="25"/>
      <c r="J89" s="26"/>
      <c r="K89" s="27"/>
      <c r="L89" s="28"/>
      <c r="M89" s="27"/>
      <c r="N89" s="26">
        <v>2008810.24</v>
      </c>
      <c r="O89" s="107">
        <f t="shared" si="1"/>
        <v>0</v>
      </c>
      <c r="P89" s="28"/>
      <c r="Q89" s="251"/>
    </row>
    <row r="90" spans="1:17" s="29" customFormat="1" ht="13.5" hidden="1" thickBot="1">
      <c r="A90" s="23" t="s">
        <v>243</v>
      </c>
      <c r="B90" s="265" t="s">
        <v>236</v>
      </c>
      <c r="C90" s="18">
        <v>198432.07</v>
      </c>
      <c r="D90" s="10"/>
      <c r="E90" s="25"/>
      <c r="F90" s="26"/>
      <c r="G90" s="27"/>
      <c r="H90" s="28"/>
      <c r="I90" s="25"/>
      <c r="J90" s="26"/>
      <c r="K90" s="27"/>
      <c r="L90" s="28"/>
      <c r="M90" s="27"/>
      <c r="N90" s="26">
        <v>198432.07</v>
      </c>
      <c r="O90" s="107">
        <f t="shared" si="1"/>
        <v>0</v>
      </c>
      <c r="P90" s="28"/>
      <c r="Q90" s="251"/>
    </row>
    <row r="91" spans="1:17" s="29" customFormat="1" ht="13.5" hidden="1" thickBot="1">
      <c r="A91" s="23" t="s">
        <v>27</v>
      </c>
      <c r="B91" s="265" t="s">
        <v>159</v>
      </c>
      <c r="C91" s="18">
        <v>16684060.459999999</v>
      </c>
      <c r="D91" s="97"/>
      <c r="E91" s="25"/>
      <c r="F91" s="26"/>
      <c r="G91" s="27"/>
      <c r="H91" s="28"/>
      <c r="I91" s="25"/>
      <c r="J91" s="26"/>
      <c r="K91" s="27"/>
      <c r="L91" s="28"/>
      <c r="M91" s="27"/>
      <c r="N91" s="26">
        <v>16684060.459999999</v>
      </c>
      <c r="O91" s="107">
        <f t="shared" si="1"/>
        <v>0</v>
      </c>
      <c r="P91" s="28"/>
      <c r="Q91" s="251"/>
    </row>
    <row r="92" spans="1:17" s="29" customFormat="1" ht="13.5" hidden="1" thickBot="1">
      <c r="A92" s="23" t="s">
        <v>160</v>
      </c>
      <c r="B92" s="265" t="s">
        <v>161</v>
      </c>
      <c r="C92" s="18">
        <v>240300</v>
      </c>
      <c r="D92" s="97"/>
      <c r="E92" s="25"/>
      <c r="F92" s="26"/>
      <c r="G92" s="27"/>
      <c r="H92" s="28"/>
      <c r="I92" s="25"/>
      <c r="J92" s="26"/>
      <c r="K92" s="27"/>
      <c r="L92" s="28"/>
      <c r="M92" s="27"/>
      <c r="N92" s="26">
        <v>240300</v>
      </c>
      <c r="O92" s="107">
        <f t="shared" si="1"/>
        <v>0</v>
      </c>
      <c r="P92" s="28"/>
      <c r="Q92" s="251"/>
    </row>
    <row r="93" spans="1:17" s="29" customFormat="1" ht="13.5" hidden="1" thickBot="1">
      <c r="A93" s="23" t="s">
        <v>61</v>
      </c>
      <c r="B93" s="265" t="s">
        <v>162</v>
      </c>
      <c r="C93" s="18">
        <v>925846.06</v>
      </c>
      <c r="D93" s="10"/>
      <c r="E93" s="25"/>
      <c r="F93" s="26"/>
      <c r="G93" s="27"/>
      <c r="H93" s="28"/>
      <c r="I93" s="25"/>
      <c r="J93" s="26"/>
      <c r="K93" s="27"/>
      <c r="L93" s="28"/>
      <c r="M93" s="27"/>
      <c r="N93" s="26">
        <v>925846.06</v>
      </c>
      <c r="O93" s="107">
        <f t="shared" si="1"/>
        <v>0</v>
      </c>
      <c r="P93" s="28"/>
      <c r="Q93" s="251"/>
    </row>
    <row r="94" spans="1:17" s="29" customFormat="1" ht="13.5" hidden="1" thickBot="1">
      <c r="A94" s="23" t="s">
        <v>56</v>
      </c>
      <c r="B94" s="265" t="s">
        <v>163</v>
      </c>
      <c r="C94" s="18">
        <v>173150</v>
      </c>
      <c r="D94" s="97"/>
      <c r="E94" s="25"/>
      <c r="F94" s="26"/>
      <c r="G94" s="27"/>
      <c r="H94" s="28"/>
      <c r="I94" s="25"/>
      <c r="J94" s="26"/>
      <c r="K94" s="27"/>
      <c r="L94" s="28"/>
      <c r="M94" s="27"/>
      <c r="N94" s="26">
        <v>173150</v>
      </c>
      <c r="O94" s="107">
        <f t="shared" si="1"/>
        <v>0</v>
      </c>
      <c r="P94" s="28"/>
      <c r="Q94" s="251"/>
    </row>
    <row r="95" spans="1:17" s="29" customFormat="1" ht="13.5" hidden="1" thickBot="1">
      <c r="A95" s="23" t="s">
        <v>217</v>
      </c>
      <c r="B95" s="265" t="s">
        <v>218</v>
      </c>
      <c r="C95" s="18">
        <v>0</v>
      </c>
      <c r="D95" s="97"/>
      <c r="E95" s="25"/>
      <c r="F95" s="26"/>
      <c r="G95" s="27"/>
      <c r="H95" s="28"/>
      <c r="I95" s="25"/>
      <c r="J95" s="26"/>
      <c r="K95" s="27"/>
      <c r="L95" s="28"/>
      <c r="M95" s="27"/>
      <c r="N95" s="26">
        <v>0</v>
      </c>
      <c r="O95" s="107">
        <f t="shared" si="1"/>
        <v>0</v>
      </c>
      <c r="P95" s="28"/>
      <c r="Q95" s="251"/>
    </row>
    <row r="96" spans="1:17" s="29" customFormat="1" ht="13.5" hidden="1" thickBot="1">
      <c r="A96" s="23" t="s">
        <v>164</v>
      </c>
      <c r="B96" s="265" t="s">
        <v>165</v>
      </c>
      <c r="C96" s="18">
        <v>219017.93000000002</v>
      </c>
      <c r="D96" s="10"/>
      <c r="E96" s="25"/>
      <c r="F96" s="26"/>
      <c r="G96" s="27"/>
      <c r="H96" s="28"/>
      <c r="I96" s="25"/>
      <c r="J96" s="26"/>
      <c r="K96" s="27"/>
      <c r="L96" s="28"/>
      <c r="M96" s="27"/>
      <c r="N96" s="26">
        <v>219017.93000000002</v>
      </c>
      <c r="O96" s="107">
        <f t="shared" si="1"/>
        <v>0</v>
      </c>
      <c r="P96" s="28"/>
      <c r="Q96" s="251"/>
    </row>
    <row r="97" spans="1:17" s="29" customFormat="1" ht="13.5" hidden="1" thickBot="1">
      <c r="A97" s="23" t="s">
        <v>570</v>
      </c>
      <c r="B97" s="265" t="s">
        <v>556</v>
      </c>
      <c r="C97" s="18">
        <v>627</v>
      </c>
      <c r="D97" s="97"/>
      <c r="E97" s="25"/>
      <c r="F97" s="26"/>
      <c r="G97" s="27"/>
      <c r="H97" s="28"/>
      <c r="I97" s="25"/>
      <c r="J97" s="26"/>
      <c r="K97" s="27"/>
      <c r="L97" s="28"/>
      <c r="M97" s="27"/>
      <c r="N97" s="26">
        <v>627</v>
      </c>
      <c r="O97" s="107">
        <f t="shared" si="1"/>
        <v>0</v>
      </c>
      <c r="P97" s="28"/>
      <c r="Q97" s="251"/>
    </row>
    <row r="98" spans="1:17" s="29" customFormat="1" ht="13.5" hidden="1" thickBot="1">
      <c r="A98" s="23" t="s">
        <v>535</v>
      </c>
      <c r="B98" s="265" t="s">
        <v>521</v>
      </c>
      <c r="C98" s="18">
        <v>70100</v>
      </c>
      <c r="D98" s="97"/>
      <c r="E98" s="25"/>
      <c r="F98" s="26"/>
      <c r="G98" s="27"/>
      <c r="H98" s="28"/>
      <c r="I98" s="25"/>
      <c r="J98" s="26"/>
      <c r="K98" s="27"/>
      <c r="L98" s="28"/>
      <c r="M98" s="27"/>
      <c r="N98" s="26">
        <v>70100</v>
      </c>
      <c r="O98" s="107">
        <f t="shared" si="1"/>
        <v>0</v>
      </c>
      <c r="P98" s="28"/>
      <c r="Q98" s="251"/>
    </row>
    <row r="99" spans="1:17" s="29" customFormat="1" ht="13.5" hidden="1" thickBot="1">
      <c r="A99" s="23" t="s">
        <v>536</v>
      </c>
      <c r="B99" s="265" t="s">
        <v>522</v>
      </c>
      <c r="C99" s="18">
        <v>79340</v>
      </c>
      <c r="D99" s="10"/>
      <c r="E99" s="25"/>
      <c r="F99" s="26"/>
      <c r="G99" s="27"/>
      <c r="H99" s="28"/>
      <c r="I99" s="25"/>
      <c r="J99" s="26"/>
      <c r="K99" s="27"/>
      <c r="L99" s="28"/>
      <c r="M99" s="27"/>
      <c r="N99" s="26">
        <v>79340</v>
      </c>
      <c r="O99" s="107">
        <f t="shared" si="1"/>
        <v>0</v>
      </c>
      <c r="P99" s="28"/>
      <c r="Q99" s="251"/>
    </row>
    <row r="100" spans="1:17" s="29" customFormat="1" ht="13.5" hidden="1" thickBot="1">
      <c r="A100" s="23" t="s">
        <v>571</v>
      </c>
      <c r="B100" s="265" t="s">
        <v>572</v>
      </c>
      <c r="C100" s="18">
        <v>2832.5</v>
      </c>
      <c r="D100" s="22"/>
      <c r="E100" s="25"/>
      <c r="F100" s="26"/>
      <c r="G100" s="27"/>
      <c r="H100" s="28"/>
      <c r="I100" s="25"/>
      <c r="J100" s="26"/>
      <c r="K100" s="27"/>
      <c r="L100" s="28"/>
      <c r="M100" s="27"/>
      <c r="N100" s="26">
        <v>2832.5</v>
      </c>
      <c r="O100" s="107">
        <f t="shared" si="1"/>
        <v>0</v>
      </c>
      <c r="P100" s="28"/>
      <c r="Q100" s="251"/>
    </row>
    <row r="101" spans="1:17" s="29" customFormat="1" ht="13.5" hidden="1" thickBot="1">
      <c r="A101" s="23" t="s">
        <v>573</v>
      </c>
      <c r="B101" s="265" t="s">
        <v>557</v>
      </c>
      <c r="C101" s="18">
        <v>890</v>
      </c>
      <c r="D101" s="97"/>
      <c r="E101" s="25"/>
      <c r="F101" s="26"/>
      <c r="G101" s="27"/>
      <c r="H101" s="28"/>
      <c r="I101" s="25"/>
      <c r="J101" s="26"/>
      <c r="K101" s="27"/>
      <c r="L101" s="28"/>
      <c r="M101" s="27"/>
      <c r="N101" s="26">
        <v>890</v>
      </c>
      <c r="O101" s="107">
        <f t="shared" si="1"/>
        <v>0</v>
      </c>
      <c r="P101" s="28"/>
      <c r="Q101" s="251"/>
    </row>
    <row r="102" spans="1:17" s="29" customFormat="1" ht="13.5" hidden="1" thickBot="1">
      <c r="A102" s="23" t="s">
        <v>241</v>
      </c>
      <c r="B102" s="265" t="s">
        <v>235</v>
      </c>
      <c r="C102" s="18">
        <v>59993.98</v>
      </c>
      <c r="D102" s="97"/>
      <c r="E102" s="25"/>
      <c r="F102" s="26"/>
      <c r="G102" s="27"/>
      <c r="H102" s="28"/>
      <c r="I102" s="25"/>
      <c r="J102" s="26"/>
      <c r="K102" s="27"/>
      <c r="L102" s="28"/>
      <c r="M102" s="27"/>
      <c r="N102" s="26">
        <v>59993.98</v>
      </c>
      <c r="O102" s="107">
        <f t="shared" si="1"/>
        <v>0</v>
      </c>
      <c r="P102" s="28"/>
      <c r="Q102" s="251"/>
    </row>
    <row r="103" spans="1:17" s="29" customFormat="1" ht="13.5" hidden="1" thickBot="1">
      <c r="A103" s="23" t="s">
        <v>166</v>
      </c>
      <c r="B103" s="265" t="s">
        <v>167</v>
      </c>
      <c r="C103" s="18">
        <v>2902087.52</v>
      </c>
      <c r="D103" s="10"/>
      <c r="E103" s="25"/>
      <c r="F103" s="26"/>
      <c r="G103" s="27"/>
      <c r="H103" s="28"/>
      <c r="I103" s="25"/>
      <c r="J103" s="26"/>
      <c r="K103" s="27"/>
      <c r="L103" s="28"/>
      <c r="M103" s="27"/>
      <c r="N103" s="26">
        <v>2902087.52</v>
      </c>
      <c r="O103" s="107">
        <f t="shared" si="1"/>
        <v>0</v>
      </c>
      <c r="P103" s="28"/>
      <c r="Q103" s="251"/>
    </row>
    <row r="104" spans="1:17" s="29" customFormat="1" ht="13.5" hidden="1" thickBot="1">
      <c r="A104" s="23" t="s">
        <v>37</v>
      </c>
      <c r="B104" s="265" t="s">
        <v>168</v>
      </c>
      <c r="C104" s="18">
        <v>118830.01000000001</v>
      </c>
      <c r="D104" s="97"/>
      <c r="E104" s="25"/>
      <c r="F104" s="26"/>
      <c r="G104" s="27"/>
      <c r="H104" s="28"/>
      <c r="I104" s="25"/>
      <c r="J104" s="26"/>
      <c r="K104" s="27"/>
      <c r="L104" s="28"/>
      <c r="M104" s="27"/>
      <c r="N104" s="26">
        <v>118830.01000000001</v>
      </c>
      <c r="O104" s="107">
        <f t="shared" si="1"/>
        <v>0</v>
      </c>
      <c r="P104" s="28"/>
      <c r="Q104" s="251"/>
    </row>
    <row r="105" spans="1:17" s="29" customFormat="1" ht="13.5" hidden="1" thickBot="1">
      <c r="A105" s="23" t="s">
        <v>43</v>
      </c>
      <c r="B105" s="265" t="s">
        <v>169</v>
      </c>
      <c r="C105" s="18">
        <v>326183.97</v>
      </c>
      <c r="D105" s="97"/>
      <c r="E105" s="25"/>
      <c r="F105" s="26"/>
      <c r="G105" s="27"/>
      <c r="H105" s="28"/>
      <c r="I105" s="25"/>
      <c r="J105" s="26"/>
      <c r="K105" s="27"/>
      <c r="L105" s="28"/>
      <c r="M105" s="27"/>
      <c r="N105" s="26">
        <v>326183.97</v>
      </c>
      <c r="O105" s="107">
        <f t="shared" si="1"/>
        <v>0</v>
      </c>
      <c r="P105" s="28"/>
      <c r="Q105" s="251"/>
    </row>
    <row r="106" spans="1:17" s="29" customFormat="1" ht="13.5" hidden="1" thickBot="1">
      <c r="A106" s="23" t="s">
        <v>29</v>
      </c>
      <c r="B106" s="265" t="s">
        <v>170</v>
      </c>
      <c r="C106" s="18">
        <v>40677</v>
      </c>
      <c r="D106" s="10"/>
      <c r="E106" s="25"/>
      <c r="F106" s="26"/>
      <c r="G106" s="27"/>
      <c r="H106" s="28"/>
      <c r="I106" s="25"/>
      <c r="J106" s="26"/>
      <c r="K106" s="27"/>
      <c r="L106" s="28"/>
      <c r="M106" s="27"/>
      <c r="N106" s="26">
        <v>40677</v>
      </c>
      <c r="O106" s="107">
        <f t="shared" si="1"/>
        <v>0</v>
      </c>
      <c r="P106" s="28"/>
      <c r="Q106" s="251"/>
    </row>
    <row r="107" spans="1:17" s="29" customFormat="1" ht="13.5" hidden="1" thickBot="1">
      <c r="A107" s="23" t="s">
        <v>194</v>
      </c>
      <c r="B107" s="265" t="s">
        <v>196</v>
      </c>
      <c r="C107" s="18">
        <v>105979.14</v>
      </c>
      <c r="D107" s="97"/>
      <c r="E107" s="25"/>
      <c r="F107" s="26"/>
      <c r="G107" s="27"/>
      <c r="H107" s="28"/>
      <c r="I107" s="25"/>
      <c r="J107" s="26"/>
      <c r="K107" s="27"/>
      <c r="L107" s="28"/>
      <c r="M107" s="27"/>
      <c r="N107" s="26">
        <v>105979.14</v>
      </c>
      <c r="O107" s="107">
        <f t="shared" si="1"/>
        <v>0</v>
      </c>
      <c r="P107" s="28"/>
      <c r="Q107" s="251"/>
    </row>
    <row r="108" spans="1:17" s="29" customFormat="1" ht="13.5" hidden="1" thickBot="1">
      <c r="A108" s="23" t="s">
        <v>195</v>
      </c>
      <c r="B108" s="265" t="s">
        <v>197</v>
      </c>
      <c r="C108" s="18">
        <v>11652.529999999999</v>
      </c>
      <c r="D108" s="97"/>
      <c r="E108" s="25"/>
      <c r="F108" s="26"/>
      <c r="G108" s="27"/>
      <c r="H108" s="28"/>
      <c r="I108" s="25"/>
      <c r="J108" s="26"/>
      <c r="K108" s="27"/>
      <c r="L108" s="28"/>
      <c r="M108" s="27"/>
      <c r="N108" s="26">
        <v>11652.529999999999</v>
      </c>
      <c r="O108" s="107">
        <f t="shared" si="1"/>
        <v>0</v>
      </c>
      <c r="P108" s="28"/>
      <c r="Q108" s="251"/>
    </row>
    <row r="109" spans="1:17" s="29" customFormat="1" ht="13.5" hidden="1" thickBot="1">
      <c r="A109" s="23" t="s">
        <v>171</v>
      </c>
      <c r="B109" s="265" t="s">
        <v>172</v>
      </c>
      <c r="C109" s="18">
        <v>71202.72</v>
      </c>
      <c r="D109" s="10"/>
      <c r="E109" s="25"/>
      <c r="F109" s="26"/>
      <c r="G109" s="27"/>
      <c r="H109" s="28"/>
      <c r="I109" s="25"/>
      <c r="J109" s="26"/>
      <c r="K109" s="27"/>
      <c r="L109" s="28"/>
      <c r="M109" s="27"/>
      <c r="N109" s="26">
        <v>71202.72</v>
      </c>
      <c r="O109" s="107">
        <f t="shared" si="1"/>
        <v>0</v>
      </c>
      <c r="P109" s="28"/>
      <c r="Q109" s="251"/>
    </row>
    <row r="110" spans="1:17" s="29" customFormat="1" ht="13.5" hidden="1" thickBot="1">
      <c r="A110" s="23" t="s">
        <v>51</v>
      </c>
      <c r="B110" s="265" t="s">
        <v>173</v>
      </c>
      <c r="C110" s="18">
        <v>3782.25</v>
      </c>
      <c r="D110" s="97"/>
      <c r="E110" s="25"/>
      <c r="F110" s="26"/>
      <c r="G110" s="27"/>
      <c r="H110" s="28"/>
      <c r="I110" s="25"/>
      <c r="J110" s="26"/>
      <c r="K110" s="27"/>
      <c r="L110" s="28"/>
      <c r="M110" s="27"/>
      <c r="N110" s="26">
        <v>3782.25</v>
      </c>
      <c r="O110" s="107">
        <f t="shared" si="1"/>
        <v>0</v>
      </c>
      <c r="P110" s="28"/>
      <c r="Q110" s="251"/>
    </row>
    <row r="111" spans="1:17" s="29" customFormat="1" ht="13.5" hidden="1" thickBot="1">
      <c r="A111" s="23" t="s">
        <v>539</v>
      </c>
      <c r="B111" s="265" t="s">
        <v>538</v>
      </c>
      <c r="C111" s="18">
        <v>75000</v>
      </c>
      <c r="D111" s="97"/>
      <c r="E111" s="25"/>
      <c r="F111" s="26"/>
      <c r="G111" s="27"/>
      <c r="H111" s="28"/>
      <c r="I111" s="25"/>
      <c r="J111" s="26"/>
      <c r="K111" s="27"/>
      <c r="L111" s="28"/>
      <c r="M111" s="27"/>
      <c r="N111" s="26">
        <v>75000</v>
      </c>
      <c r="O111" s="107">
        <f t="shared" si="1"/>
        <v>0</v>
      </c>
      <c r="P111" s="28"/>
      <c r="Q111" s="251"/>
    </row>
    <row r="112" spans="1:17" s="29" customFormat="1" ht="13.5" hidden="1" thickBot="1">
      <c r="A112" s="23" t="s">
        <v>193</v>
      </c>
      <c r="B112" s="265" t="s">
        <v>190</v>
      </c>
      <c r="C112" s="18">
        <v>110000.04</v>
      </c>
      <c r="D112" s="10"/>
      <c r="E112" s="25"/>
      <c r="F112" s="26"/>
      <c r="G112" s="27"/>
      <c r="H112" s="28"/>
      <c r="I112" s="25"/>
      <c r="J112" s="26"/>
      <c r="K112" s="27"/>
      <c r="L112" s="28"/>
      <c r="M112" s="27"/>
      <c r="N112" s="26">
        <v>110000.04</v>
      </c>
      <c r="O112" s="107">
        <f t="shared" si="1"/>
        <v>0</v>
      </c>
      <c r="P112" s="28"/>
      <c r="Q112" s="251"/>
    </row>
    <row r="113" spans="1:17" s="29" customFormat="1" ht="13.5" hidden="1" thickBot="1">
      <c r="A113" s="23" t="s">
        <v>71</v>
      </c>
      <c r="B113" s="265" t="s">
        <v>178</v>
      </c>
      <c r="C113" s="18">
        <v>1400</v>
      </c>
      <c r="D113" s="97"/>
      <c r="E113" s="25"/>
      <c r="F113" s="26"/>
      <c r="G113" s="27"/>
      <c r="H113" s="28"/>
      <c r="I113" s="25"/>
      <c r="J113" s="26"/>
      <c r="K113" s="27"/>
      <c r="L113" s="28"/>
      <c r="M113" s="27"/>
      <c r="N113" s="26">
        <v>1400</v>
      </c>
      <c r="O113" s="107">
        <f t="shared" si="1"/>
        <v>0</v>
      </c>
      <c r="P113" s="28"/>
      <c r="Q113" s="251"/>
    </row>
    <row r="114" spans="1:17" s="29" customFormat="1" ht="13.5" hidden="1" thickBot="1">
      <c r="A114" s="23" t="s">
        <v>30</v>
      </c>
      <c r="B114" s="265" t="s">
        <v>179</v>
      </c>
      <c r="C114" s="18">
        <v>0</v>
      </c>
      <c r="D114" s="97"/>
      <c r="E114" s="25"/>
      <c r="F114" s="26"/>
      <c r="G114" s="27"/>
      <c r="H114" s="28"/>
      <c r="I114" s="25"/>
      <c r="J114" s="26"/>
      <c r="K114" s="27"/>
      <c r="L114" s="28"/>
      <c r="M114" s="27"/>
      <c r="N114" s="26">
        <v>0</v>
      </c>
      <c r="O114" s="107">
        <f t="shared" si="1"/>
        <v>0</v>
      </c>
      <c r="P114" s="28"/>
      <c r="Q114" s="251"/>
    </row>
    <row r="115" spans="1:17" s="29" customFormat="1" ht="13.5" hidden="1" thickBot="1">
      <c r="A115" s="23" t="s">
        <v>198</v>
      </c>
      <c r="B115" s="265" t="s">
        <v>199</v>
      </c>
      <c r="C115" s="18">
        <v>356999.99</v>
      </c>
      <c r="D115" s="10"/>
      <c r="E115" s="25"/>
      <c r="F115" s="26"/>
      <c r="G115" s="27"/>
      <c r="H115" s="28"/>
      <c r="I115" s="25"/>
      <c r="J115" s="26"/>
      <c r="K115" s="27"/>
      <c r="L115" s="28"/>
      <c r="M115" s="27"/>
      <c r="N115" s="26">
        <v>356999.99</v>
      </c>
      <c r="O115" s="107">
        <f t="shared" si="1"/>
        <v>0</v>
      </c>
      <c r="P115" s="28"/>
      <c r="Q115" s="251"/>
    </row>
    <row r="116" spans="1:17" s="29" customFormat="1" ht="13.5" hidden="1" thickBot="1">
      <c r="A116" s="23" t="s">
        <v>72</v>
      </c>
      <c r="B116" s="265" t="s">
        <v>182</v>
      </c>
      <c r="C116" s="18">
        <v>282242.24</v>
      </c>
      <c r="D116" s="97"/>
      <c r="E116" s="25"/>
      <c r="F116" s="26"/>
      <c r="G116" s="27"/>
      <c r="H116" s="28"/>
      <c r="I116" s="25"/>
      <c r="J116" s="26"/>
      <c r="K116" s="27"/>
      <c r="L116" s="28"/>
      <c r="M116" s="27"/>
      <c r="N116" s="26">
        <v>282242.24</v>
      </c>
      <c r="O116" s="107">
        <f t="shared" si="1"/>
        <v>0</v>
      </c>
      <c r="P116" s="28"/>
      <c r="Q116" s="251"/>
    </row>
    <row r="117" spans="1:17" s="29" customFormat="1" ht="13.5" hidden="1" thickBot="1">
      <c r="A117" s="23" t="s">
        <v>65</v>
      </c>
      <c r="B117" s="265" t="s">
        <v>183</v>
      </c>
      <c r="C117" s="18">
        <v>0</v>
      </c>
      <c r="D117" s="97"/>
      <c r="E117" s="25"/>
      <c r="F117" s="26"/>
      <c r="G117" s="27"/>
      <c r="H117" s="28"/>
      <c r="I117" s="25"/>
      <c r="J117" s="26"/>
      <c r="K117" s="27"/>
      <c r="L117" s="28"/>
      <c r="M117" s="27"/>
      <c r="N117" s="26">
        <v>0</v>
      </c>
      <c r="O117" s="107">
        <f t="shared" si="1"/>
        <v>0</v>
      </c>
      <c r="P117" s="28"/>
      <c r="Q117" s="251"/>
    </row>
    <row r="118" spans="1:17" s="29" customFormat="1" ht="13.5" hidden="1" thickBot="1">
      <c r="A118" s="23" t="s">
        <v>180</v>
      </c>
      <c r="B118" s="265" t="s">
        <v>181</v>
      </c>
      <c r="C118" s="18">
        <v>3000</v>
      </c>
      <c r="D118" s="10"/>
      <c r="E118" s="25"/>
      <c r="F118" s="26"/>
      <c r="G118" s="27"/>
      <c r="H118" s="28"/>
      <c r="I118" s="25"/>
      <c r="J118" s="26"/>
      <c r="K118" s="27"/>
      <c r="L118" s="28"/>
      <c r="M118" s="27"/>
      <c r="N118" s="26">
        <v>3000</v>
      </c>
      <c r="O118" s="107">
        <f t="shared" si="1"/>
        <v>0</v>
      </c>
      <c r="P118" s="28"/>
      <c r="Q118" s="251"/>
    </row>
    <row r="119" spans="1:17" s="29" customFormat="1" ht="13.5" hidden="1" thickBot="1">
      <c r="A119" s="23" t="s">
        <v>184</v>
      </c>
      <c r="B119" s="265" t="s">
        <v>185</v>
      </c>
      <c r="C119" s="18">
        <v>0</v>
      </c>
      <c r="D119" s="97"/>
      <c r="E119" s="25"/>
      <c r="F119" s="26"/>
      <c r="G119" s="27"/>
      <c r="H119" s="28"/>
      <c r="I119" s="25"/>
      <c r="J119" s="26"/>
      <c r="K119" s="27"/>
      <c r="L119" s="28"/>
      <c r="M119" s="27"/>
      <c r="N119" s="26">
        <v>0</v>
      </c>
      <c r="O119" s="107">
        <f t="shared" si="1"/>
        <v>0</v>
      </c>
      <c r="P119" s="28"/>
      <c r="Q119" s="251"/>
    </row>
    <row r="120" spans="1:17" s="29" customFormat="1" ht="13.5" hidden="1" thickBot="1">
      <c r="A120" s="23" t="s">
        <v>186</v>
      </c>
      <c r="B120" s="265" t="s">
        <v>204</v>
      </c>
      <c r="C120" s="18">
        <v>0</v>
      </c>
      <c r="D120" s="97"/>
      <c r="E120" s="25"/>
      <c r="F120" s="26"/>
      <c r="G120" s="27"/>
      <c r="H120" s="28"/>
      <c r="I120" s="25"/>
      <c r="J120" s="26"/>
      <c r="K120" s="27"/>
      <c r="L120" s="28"/>
      <c r="M120" s="27"/>
      <c r="N120" s="26">
        <v>0</v>
      </c>
      <c r="O120" s="107">
        <f t="shared" si="1"/>
        <v>0</v>
      </c>
      <c r="P120" s="28"/>
      <c r="Q120" s="251"/>
    </row>
    <row r="121" spans="1:17" s="29" customFormat="1" ht="13.5" hidden="1" thickBot="1">
      <c r="A121" s="23" t="s">
        <v>219</v>
      </c>
      <c r="B121" s="265" t="s">
        <v>205</v>
      </c>
      <c r="C121" s="18">
        <v>26900</v>
      </c>
      <c r="D121" s="10"/>
      <c r="E121" s="25"/>
      <c r="F121" s="26"/>
      <c r="G121" s="27"/>
      <c r="H121" s="28"/>
      <c r="I121" s="25"/>
      <c r="J121" s="26"/>
      <c r="K121" s="27"/>
      <c r="L121" s="28"/>
      <c r="M121" s="27"/>
      <c r="N121" s="26">
        <v>26900</v>
      </c>
      <c r="O121" s="107">
        <f t="shared" si="1"/>
        <v>0</v>
      </c>
      <c r="P121" s="28"/>
      <c r="Q121" s="251"/>
    </row>
    <row r="122" spans="1:17" s="29" customFormat="1" ht="13.5" hidden="1" thickBot="1">
      <c r="A122" s="23" t="s">
        <v>220</v>
      </c>
      <c r="B122" s="265" t="s">
        <v>206</v>
      </c>
      <c r="C122" s="18">
        <v>94850</v>
      </c>
      <c r="D122" s="97"/>
      <c r="E122" s="25"/>
      <c r="F122" s="26"/>
      <c r="G122" s="27"/>
      <c r="H122" s="28"/>
      <c r="I122" s="25"/>
      <c r="J122" s="26"/>
      <c r="K122" s="27"/>
      <c r="L122" s="28"/>
      <c r="M122" s="27"/>
      <c r="N122" s="26">
        <v>94850</v>
      </c>
      <c r="O122" s="107">
        <f t="shared" si="1"/>
        <v>0</v>
      </c>
      <c r="P122" s="28"/>
      <c r="Q122" s="251"/>
    </row>
    <row r="123" spans="1:17" s="29" customFormat="1" ht="13.5" hidden="1" thickBot="1">
      <c r="A123" s="23" t="s">
        <v>188</v>
      </c>
      <c r="B123" s="265" t="s">
        <v>189</v>
      </c>
      <c r="C123" s="18">
        <v>27090</v>
      </c>
      <c r="D123" s="97"/>
      <c r="E123" s="25"/>
      <c r="F123" s="26"/>
      <c r="G123" s="27"/>
      <c r="H123" s="28"/>
      <c r="I123" s="25"/>
      <c r="J123" s="26"/>
      <c r="K123" s="27"/>
      <c r="L123" s="28"/>
      <c r="M123" s="27"/>
      <c r="N123" s="26">
        <v>27090</v>
      </c>
      <c r="O123" s="107">
        <f t="shared" si="1"/>
        <v>0</v>
      </c>
      <c r="P123" s="28"/>
      <c r="Q123" s="251"/>
    </row>
    <row r="124" spans="1:17" s="29" customFormat="1" ht="13.5" hidden="1" thickBot="1">
      <c r="A124" s="23" t="s">
        <v>229</v>
      </c>
      <c r="B124" s="265" t="s">
        <v>227</v>
      </c>
      <c r="C124" s="18">
        <v>388590.95</v>
      </c>
      <c r="D124" s="10"/>
      <c r="E124" s="25"/>
      <c r="F124" s="26"/>
      <c r="G124" s="27"/>
      <c r="H124" s="28"/>
      <c r="I124" s="25"/>
      <c r="J124" s="26"/>
      <c r="K124" s="27"/>
      <c r="L124" s="28"/>
      <c r="M124" s="27"/>
      <c r="N124" s="26">
        <v>388590.95</v>
      </c>
      <c r="O124" s="107">
        <f t="shared" si="1"/>
        <v>0</v>
      </c>
      <c r="P124" s="28"/>
      <c r="Q124" s="251"/>
    </row>
    <row r="125" spans="1:17" s="29" customFormat="1" ht="13.5" hidden="1" thickBot="1">
      <c r="A125" s="23" t="s">
        <v>64</v>
      </c>
      <c r="B125" s="265" t="s">
        <v>187</v>
      </c>
      <c r="C125" s="18">
        <v>83710</v>
      </c>
      <c r="D125" s="97"/>
      <c r="E125" s="25"/>
      <c r="F125" s="26"/>
      <c r="G125" s="27"/>
      <c r="H125" s="28"/>
      <c r="I125" s="25"/>
      <c r="J125" s="26"/>
      <c r="K125" s="27"/>
      <c r="L125" s="28"/>
      <c r="M125" s="27"/>
      <c r="N125" s="26">
        <v>83710</v>
      </c>
      <c r="O125" s="107">
        <f t="shared" si="1"/>
        <v>0</v>
      </c>
      <c r="P125" s="28"/>
      <c r="Q125" s="251"/>
    </row>
    <row r="126" spans="1:17" s="29" customFormat="1" ht="13.5" hidden="1" thickBot="1">
      <c r="A126" s="23" t="s">
        <v>233</v>
      </c>
      <c r="B126" s="265" t="s">
        <v>232</v>
      </c>
      <c r="C126" s="18">
        <v>183726905.37</v>
      </c>
      <c r="D126" s="97"/>
      <c r="E126" s="25"/>
      <c r="F126" s="26"/>
      <c r="G126" s="27"/>
      <c r="H126" s="28"/>
      <c r="I126" s="25"/>
      <c r="J126" s="26"/>
      <c r="K126" s="27"/>
      <c r="L126" s="28"/>
      <c r="M126" s="27"/>
      <c r="N126" s="26">
        <v>183726905.37</v>
      </c>
      <c r="O126" s="107">
        <f t="shared" si="1"/>
        <v>0</v>
      </c>
      <c r="P126" s="28"/>
      <c r="Q126" s="251"/>
    </row>
    <row r="127" spans="1:16" s="29" customFormat="1" ht="13.5" hidden="1" thickBot="1">
      <c r="A127" s="23" t="s">
        <v>69</v>
      </c>
      <c r="B127" s="265" t="s">
        <v>191</v>
      </c>
      <c r="C127" s="18">
        <v>25875</v>
      </c>
      <c r="D127" s="10"/>
      <c r="E127" s="25"/>
      <c r="F127" s="26"/>
      <c r="G127" s="27"/>
      <c r="H127" s="28"/>
      <c r="I127" s="25"/>
      <c r="J127" s="26"/>
      <c r="K127" s="27"/>
      <c r="L127" s="28"/>
      <c r="M127" s="27"/>
      <c r="N127" s="26">
        <v>25875</v>
      </c>
      <c r="O127" s="107">
        <f t="shared" si="1"/>
        <v>0</v>
      </c>
      <c r="P127" s="28"/>
    </row>
    <row r="128" spans="1:16" s="29" customFormat="1" ht="13.5" hidden="1" thickBot="1">
      <c r="A128" s="23" t="s">
        <v>211</v>
      </c>
      <c r="B128" s="265" t="s">
        <v>212</v>
      </c>
      <c r="C128" s="18">
        <v>0</v>
      </c>
      <c r="D128" s="97"/>
      <c r="E128" s="25"/>
      <c r="F128" s="26"/>
      <c r="G128" s="27"/>
      <c r="H128" s="28"/>
      <c r="I128" s="25"/>
      <c r="J128" s="26"/>
      <c r="K128" s="27"/>
      <c r="L128" s="28"/>
      <c r="M128" s="27"/>
      <c r="N128" s="26">
        <v>0</v>
      </c>
      <c r="O128" s="107">
        <f t="shared" si="1"/>
        <v>0</v>
      </c>
      <c r="P128" s="28"/>
    </row>
    <row r="129" spans="1:16" s="29" customFormat="1" ht="13.5" hidden="1" thickBot="1">
      <c r="A129" s="23" t="s">
        <v>540</v>
      </c>
      <c r="B129" s="265" t="s">
        <v>523</v>
      </c>
      <c r="C129" s="18">
        <v>15375</v>
      </c>
      <c r="D129" s="97"/>
      <c r="E129" s="25"/>
      <c r="F129" s="26"/>
      <c r="G129" s="27"/>
      <c r="H129" s="28"/>
      <c r="I129" s="25"/>
      <c r="J129" s="26"/>
      <c r="K129" s="27"/>
      <c r="L129" s="28"/>
      <c r="M129" s="27"/>
      <c r="N129" s="26">
        <v>15375</v>
      </c>
      <c r="O129" s="107">
        <f t="shared" si="1"/>
        <v>0</v>
      </c>
      <c r="P129" s="28"/>
    </row>
    <row r="130" spans="1:16" s="29" customFormat="1" ht="13.5" hidden="1" thickBot="1">
      <c r="A130" s="23" t="s">
        <v>73</v>
      </c>
      <c r="B130" s="265" t="s">
        <v>192</v>
      </c>
      <c r="C130" s="18">
        <v>17488.84</v>
      </c>
      <c r="D130" s="10"/>
      <c r="E130" s="25"/>
      <c r="F130" s="26"/>
      <c r="G130" s="27"/>
      <c r="H130" s="28"/>
      <c r="I130" s="25"/>
      <c r="J130" s="26"/>
      <c r="K130" s="27"/>
      <c r="L130" s="28"/>
      <c r="M130" s="27"/>
      <c r="N130" s="26">
        <v>17488.84</v>
      </c>
      <c r="O130" s="107">
        <f t="shared" si="1"/>
        <v>0</v>
      </c>
      <c r="P130" s="28"/>
    </row>
    <row r="131" spans="1:16" s="29" customFormat="1" ht="13.5" hidden="1" thickBot="1">
      <c r="A131" s="23" t="s">
        <v>38</v>
      </c>
      <c r="B131" s="265" t="s">
        <v>175</v>
      </c>
      <c r="C131" s="18">
        <v>102621.12</v>
      </c>
      <c r="D131" s="97"/>
      <c r="E131" s="25"/>
      <c r="F131" s="26"/>
      <c r="G131" s="27"/>
      <c r="H131" s="28"/>
      <c r="I131" s="25"/>
      <c r="J131" s="26"/>
      <c r="K131" s="27"/>
      <c r="L131" s="28"/>
      <c r="M131" s="27"/>
      <c r="N131" s="26">
        <v>102621.12</v>
      </c>
      <c r="O131" s="107">
        <f t="shared" si="1"/>
        <v>0</v>
      </c>
      <c r="P131" s="28"/>
    </row>
    <row r="132" spans="1:16" s="29" customFormat="1" ht="13.5" hidden="1" thickBot="1">
      <c r="A132" s="23" t="s">
        <v>62</v>
      </c>
      <c r="B132" s="265" t="s">
        <v>176</v>
      </c>
      <c r="C132" s="18">
        <v>60807.67</v>
      </c>
      <c r="D132" s="97"/>
      <c r="E132" s="25"/>
      <c r="F132" s="26"/>
      <c r="G132" s="27"/>
      <c r="H132" s="28"/>
      <c r="I132" s="25"/>
      <c r="J132" s="26"/>
      <c r="K132" s="27"/>
      <c r="L132" s="28"/>
      <c r="M132" s="27"/>
      <c r="N132" s="26">
        <v>60807.67</v>
      </c>
      <c r="O132" s="107">
        <f t="shared" si="1"/>
        <v>0</v>
      </c>
      <c r="P132" s="28"/>
    </row>
    <row r="133" spans="1:16" s="29" customFormat="1" ht="13.5" hidden="1" thickBot="1">
      <c r="A133" s="23" t="s">
        <v>63</v>
      </c>
      <c r="B133" s="265" t="s">
        <v>177</v>
      </c>
      <c r="C133" s="18">
        <v>116624.92</v>
      </c>
      <c r="D133" s="10"/>
      <c r="E133" s="25"/>
      <c r="F133" s="26"/>
      <c r="G133" s="27"/>
      <c r="H133" s="28"/>
      <c r="I133" s="25"/>
      <c r="J133" s="26"/>
      <c r="K133" s="27"/>
      <c r="L133" s="28"/>
      <c r="M133" s="27"/>
      <c r="N133" s="26">
        <v>116624.92</v>
      </c>
      <c r="O133" s="107">
        <f t="shared" si="1"/>
        <v>0</v>
      </c>
      <c r="P133" s="28"/>
    </row>
    <row r="134" spans="1:16" s="29" customFormat="1" ht="13.5" hidden="1" thickBot="1">
      <c r="A134" s="23" t="s">
        <v>560</v>
      </c>
      <c r="B134" s="265" t="s">
        <v>561</v>
      </c>
      <c r="C134" s="18">
        <v>29860</v>
      </c>
      <c r="D134" s="97"/>
      <c r="E134" s="25"/>
      <c r="F134" s="26"/>
      <c r="G134" s="27"/>
      <c r="H134" s="28"/>
      <c r="I134" s="25"/>
      <c r="J134" s="26"/>
      <c r="K134" s="27"/>
      <c r="L134" s="28"/>
      <c r="M134" s="27"/>
      <c r="N134" s="26">
        <v>29860</v>
      </c>
      <c r="O134" s="107">
        <f t="shared" si="1"/>
        <v>0</v>
      </c>
      <c r="P134" s="28"/>
    </row>
    <row r="135" spans="1:16" s="29" customFormat="1" ht="13.5" hidden="1" thickBot="1">
      <c r="A135" s="23" t="s">
        <v>53</v>
      </c>
      <c r="B135" s="265" t="s">
        <v>528</v>
      </c>
      <c r="C135" s="18">
        <v>1686588.25</v>
      </c>
      <c r="D135" s="97"/>
      <c r="E135" s="25"/>
      <c r="F135" s="26"/>
      <c r="G135" s="27"/>
      <c r="H135" s="28"/>
      <c r="I135" s="25"/>
      <c r="J135" s="26"/>
      <c r="K135" s="27"/>
      <c r="L135" s="28"/>
      <c r="M135" s="27"/>
      <c r="N135" s="26">
        <v>1686588.25</v>
      </c>
      <c r="O135" s="107">
        <f t="shared" si="1"/>
        <v>0</v>
      </c>
      <c r="P135" s="28"/>
    </row>
    <row r="136" spans="1:16" s="29" customFormat="1" ht="13.5" hidden="1" thickBot="1">
      <c r="A136" s="23" t="s">
        <v>68</v>
      </c>
      <c r="B136" s="265" t="s">
        <v>174</v>
      </c>
      <c r="C136" s="18">
        <v>0</v>
      </c>
      <c r="D136" s="10"/>
      <c r="E136" s="25"/>
      <c r="F136" s="26"/>
      <c r="G136" s="27"/>
      <c r="H136" s="28"/>
      <c r="I136" s="25"/>
      <c r="J136" s="26"/>
      <c r="K136" s="27"/>
      <c r="L136" s="28"/>
      <c r="M136" s="27"/>
      <c r="N136" s="26">
        <v>0</v>
      </c>
      <c r="O136" s="107">
        <f t="shared" si="1"/>
        <v>0</v>
      </c>
      <c r="P136" s="28"/>
    </row>
    <row r="137" spans="1:16" s="29" customFormat="1" ht="13.5" hidden="1" thickBot="1">
      <c r="A137" s="23" t="s">
        <v>244</v>
      </c>
      <c r="B137" s="265" t="s">
        <v>237</v>
      </c>
      <c r="C137" s="18">
        <v>20000</v>
      </c>
      <c r="D137" s="97"/>
      <c r="E137" s="25"/>
      <c r="F137" s="26"/>
      <c r="G137" s="27"/>
      <c r="H137" s="28"/>
      <c r="I137" s="25"/>
      <c r="J137" s="26"/>
      <c r="K137" s="27"/>
      <c r="L137" s="28"/>
      <c r="M137" s="27"/>
      <c r="N137" s="26">
        <v>20000</v>
      </c>
      <c r="O137" s="107">
        <f t="shared" si="1"/>
        <v>0</v>
      </c>
      <c r="P137" s="28"/>
    </row>
    <row r="138" spans="1:16" ht="13.5" hidden="1" thickBot="1">
      <c r="A138" s="23" t="s">
        <v>23</v>
      </c>
      <c r="B138" s="265" t="s">
        <v>524</v>
      </c>
      <c r="C138" s="18">
        <v>4447929.5</v>
      </c>
      <c r="D138" s="97"/>
      <c r="E138" s="25"/>
      <c r="F138" s="26"/>
      <c r="G138" s="27"/>
      <c r="H138" s="28"/>
      <c r="I138" s="25"/>
      <c r="J138" s="26"/>
      <c r="K138" s="27"/>
      <c r="L138" s="28"/>
      <c r="M138" s="27"/>
      <c r="N138" s="26">
        <v>4447929.5</v>
      </c>
      <c r="O138" s="107">
        <f t="shared" si="1"/>
        <v>0</v>
      </c>
      <c r="P138" s="28"/>
    </row>
    <row r="139" spans="1:16" ht="13.5" hidden="1" thickBot="1">
      <c r="A139" s="23" t="s">
        <v>245</v>
      </c>
      <c r="B139" s="265" t="s">
        <v>525</v>
      </c>
      <c r="C139" s="18">
        <v>1750</v>
      </c>
      <c r="D139" s="10"/>
      <c r="E139" s="25"/>
      <c r="F139" s="26"/>
      <c r="G139" s="27"/>
      <c r="H139" s="28"/>
      <c r="I139" s="25"/>
      <c r="J139" s="26"/>
      <c r="K139" s="27"/>
      <c r="L139" s="28"/>
      <c r="M139" s="27"/>
      <c r="N139" s="26">
        <v>1750</v>
      </c>
      <c r="O139" s="107">
        <f t="shared" si="1"/>
        <v>0</v>
      </c>
      <c r="P139" s="28"/>
    </row>
    <row r="140" spans="1:16" ht="13.5" hidden="1" thickBot="1">
      <c r="A140" s="8" t="s">
        <v>214</v>
      </c>
      <c r="B140" s="265" t="s">
        <v>574</v>
      </c>
      <c r="C140" s="18">
        <v>104196.72</v>
      </c>
      <c r="D140" s="97"/>
      <c r="E140" s="25"/>
      <c r="F140" s="26"/>
      <c r="G140" s="27"/>
      <c r="H140" s="28"/>
      <c r="I140" s="25"/>
      <c r="J140" s="26"/>
      <c r="K140" s="27"/>
      <c r="L140" s="28"/>
      <c r="M140" s="27"/>
      <c r="N140" s="26">
        <v>104196.72</v>
      </c>
      <c r="O140" s="107">
        <f t="shared" si="1"/>
        <v>0</v>
      </c>
      <c r="P140" s="28"/>
    </row>
    <row r="141" spans="1:16" ht="13.5" hidden="1" thickBot="1">
      <c r="A141" s="8" t="s">
        <v>77</v>
      </c>
      <c r="B141" s="265" t="s">
        <v>575</v>
      </c>
      <c r="C141" s="18">
        <v>65106.98</v>
      </c>
      <c r="D141" s="97"/>
      <c r="E141" s="25"/>
      <c r="F141" s="26"/>
      <c r="G141" s="27"/>
      <c r="H141" s="28"/>
      <c r="I141" s="25"/>
      <c r="J141" s="26"/>
      <c r="K141" s="27"/>
      <c r="L141" s="28"/>
      <c r="M141" s="27"/>
      <c r="N141" s="26">
        <v>65106.98</v>
      </c>
      <c r="O141" s="107">
        <f t="shared" si="1"/>
        <v>0</v>
      </c>
      <c r="P141" s="28"/>
    </row>
    <row r="142" spans="1:16" ht="13.5" hidden="1" thickBot="1">
      <c r="A142" s="8" t="s">
        <v>78</v>
      </c>
      <c r="B142" s="265" t="s">
        <v>576</v>
      </c>
      <c r="C142" s="18">
        <v>155484.05000000002</v>
      </c>
      <c r="D142" s="10"/>
      <c r="E142" s="25"/>
      <c r="F142" s="26"/>
      <c r="G142" s="27"/>
      <c r="H142" s="28"/>
      <c r="I142" s="25"/>
      <c r="J142" s="26"/>
      <c r="K142" s="27"/>
      <c r="L142" s="28"/>
      <c r="M142" s="27"/>
      <c r="N142" s="26">
        <v>155484.05000000002</v>
      </c>
      <c r="O142" s="107">
        <f t="shared" si="1"/>
        <v>0</v>
      </c>
      <c r="P142" s="28"/>
    </row>
    <row r="143" spans="1:16" ht="13.5" hidden="1" thickBot="1">
      <c r="A143" s="8" t="s">
        <v>79</v>
      </c>
      <c r="B143" s="265" t="s">
        <v>577</v>
      </c>
      <c r="C143" s="18">
        <v>15758.31</v>
      </c>
      <c r="D143" s="97"/>
      <c r="E143" s="25"/>
      <c r="F143" s="26"/>
      <c r="G143" s="27"/>
      <c r="H143" s="28"/>
      <c r="I143" s="25"/>
      <c r="J143" s="26"/>
      <c r="K143" s="27"/>
      <c r="L143" s="28"/>
      <c r="M143" s="27"/>
      <c r="N143" s="26">
        <v>15758.31</v>
      </c>
      <c r="O143" s="107">
        <f t="shared" si="1"/>
        <v>0</v>
      </c>
      <c r="P143" s="28"/>
    </row>
    <row r="144" spans="1:16" ht="13.5" hidden="1" thickBot="1">
      <c r="A144" s="8" t="s">
        <v>578</v>
      </c>
      <c r="B144" s="265" t="s">
        <v>579</v>
      </c>
      <c r="C144" s="18">
        <v>0</v>
      </c>
      <c r="D144" s="97"/>
      <c r="E144" s="25"/>
      <c r="F144" s="26"/>
      <c r="G144" s="27"/>
      <c r="H144" s="28"/>
      <c r="I144" s="25"/>
      <c r="J144" s="26"/>
      <c r="K144" s="27"/>
      <c r="L144" s="28"/>
      <c r="M144" s="27"/>
      <c r="N144" s="26">
        <v>0</v>
      </c>
      <c r="O144" s="107">
        <f t="shared" si="1"/>
        <v>0</v>
      </c>
      <c r="P144" s="28"/>
    </row>
    <row r="145" spans="1:16" ht="13.5" hidden="1" thickBot="1">
      <c r="A145" s="8" t="s">
        <v>580</v>
      </c>
      <c r="B145" s="265" t="s">
        <v>581</v>
      </c>
      <c r="C145" s="18">
        <v>1607.95</v>
      </c>
      <c r="D145" s="10"/>
      <c r="E145" s="25"/>
      <c r="F145" s="25"/>
      <c r="G145" s="25"/>
      <c r="H145" s="25"/>
      <c r="I145" s="25"/>
      <c r="J145" s="25"/>
      <c r="K145" s="25"/>
      <c r="L145" s="25"/>
      <c r="M145" s="25"/>
      <c r="N145" s="25">
        <v>1607.95</v>
      </c>
      <c r="O145" s="107">
        <f t="shared" si="1"/>
        <v>0</v>
      </c>
      <c r="P145" s="110"/>
    </row>
    <row r="146" spans="1:16" ht="13.5" hidden="1" thickBot="1">
      <c r="A146" s="8" t="s">
        <v>82</v>
      </c>
      <c r="B146" s="265" t="s">
        <v>582</v>
      </c>
      <c r="C146" s="18">
        <v>60653.49</v>
      </c>
      <c r="D146" s="97"/>
      <c r="E146" s="63"/>
      <c r="F146" s="25"/>
      <c r="G146" s="61"/>
      <c r="H146" s="62"/>
      <c r="I146" s="63"/>
      <c r="J146" s="25"/>
      <c r="K146" s="61"/>
      <c r="L146" s="62"/>
      <c r="M146" s="61"/>
      <c r="N146" s="25">
        <v>60653.49</v>
      </c>
      <c r="O146" s="107">
        <f t="shared" si="1"/>
        <v>0</v>
      </c>
      <c r="P146" s="110"/>
    </row>
    <row r="147" spans="1:16" ht="13.5" thickBot="1">
      <c r="A147" s="256"/>
      <c r="B147" s="257"/>
      <c r="C147" s="258">
        <f>SUM(C14:C146)</f>
        <v>276875411.0500001</v>
      </c>
      <c r="D147" s="258">
        <f>SUM(D14:D146)</f>
        <v>276875411.05</v>
      </c>
      <c r="E147" s="125">
        <f aca="true" t="shared" si="2" ref="E147:L147">SUM(E14:E145)</f>
        <v>0</v>
      </c>
      <c r="F147" s="126">
        <f t="shared" si="2"/>
        <v>0</v>
      </c>
      <c r="G147" s="125">
        <f>SUM(G14:G145)</f>
        <v>0</v>
      </c>
      <c r="H147" s="126">
        <f t="shared" si="2"/>
        <v>0</v>
      </c>
      <c r="I147" s="125">
        <f t="shared" si="2"/>
        <v>0</v>
      </c>
      <c r="J147" s="126">
        <f t="shared" si="2"/>
        <v>0</v>
      </c>
      <c r="K147" s="125">
        <f t="shared" si="2"/>
        <v>0</v>
      </c>
      <c r="L147" s="126">
        <f t="shared" si="2"/>
        <v>0</v>
      </c>
      <c r="M147" s="125">
        <f>SUM(M14:M146)</f>
        <v>743611696.3199999</v>
      </c>
      <c r="N147" s="127">
        <f>SUM(N18:N146)</f>
        <v>743611696.3199998</v>
      </c>
      <c r="O147" s="243">
        <f>SUM(O14:O146)</f>
        <v>69440307.49000001</v>
      </c>
      <c r="P147" s="126">
        <f>SUM(P14:P146)</f>
        <v>69440307.49</v>
      </c>
    </row>
    <row r="148" spans="4:16" ht="12.75">
      <c r="D148" s="31">
        <f>C147-D147</f>
        <v>0</v>
      </c>
      <c r="F148" s="31">
        <f>E147-F147</f>
        <v>0</v>
      </c>
      <c r="H148" s="31">
        <f>G147-H147</f>
        <v>0</v>
      </c>
      <c r="J148" s="31">
        <f>I147-J147</f>
        <v>0</v>
      </c>
      <c r="L148" s="31">
        <f>K147-L147</f>
        <v>0</v>
      </c>
      <c r="N148" s="31">
        <f>M147-N147</f>
        <v>0</v>
      </c>
      <c r="P148" s="31">
        <f>O147-P147</f>
        <v>0</v>
      </c>
    </row>
    <row r="150" ht="12.75">
      <c r="M150" s="89"/>
    </row>
  </sheetData>
  <sheetProtection/>
  <mergeCells count="14">
    <mergeCell ref="A2:P2"/>
    <mergeCell ref="A3:P3"/>
    <mergeCell ref="O10:P10"/>
    <mergeCell ref="A5:P5"/>
    <mergeCell ref="A6:P6"/>
    <mergeCell ref="A7:P7"/>
    <mergeCell ref="A8:P8"/>
    <mergeCell ref="A9:P9"/>
    <mergeCell ref="E10:F10"/>
    <mergeCell ref="G10:H10"/>
    <mergeCell ref="I10:J10"/>
    <mergeCell ref="K10:L10"/>
    <mergeCell ref="M10:N10"/>
    <mergeCell ref="C10:D10"/>
  </mergeCells>
  <printOptions horizontalCentered="1"/>
  <pageMargins left="0.25" right="0.25" top="0.75" bottom="0.75" header="0.3" footer="0.3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H3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22.421875" style="1" customWidth="1"/>
    <col min="4" max="4" width="16.57421875" style="1" customWidth="1"/>
    <col min="5" max="5" width="16.7109375" style="1" customWidth="1"/>
    <col min="6" max="16384" width="9.140625" style="1" customWidth="1"/>
  </cols>
  <sheetData>
    <row r="2" spans="1:5" ht="12.75">
      <c r="A2" s="551" t="s">
        <v>1</v>
      </c>
      <c r="B2" s="551"/>
      <c r="C2" s="551"/>
      <c r="D2" s="551"/>
      <c r="E2" s="87"/>
    </row>
    <row r="3" spans="1:5" ht="12.75">
      <c r="A3" s="551" t="s">
        <v>600</v>
      </c>
      <c r="B3" s="551"/>
      <c r="C3" s="551"/>
      <c r="D3" s="551"/>
      <c r="E3" s="87"/>
    </row>
    <row r="4" spans="1:5" ht="12.75">
      <c r="A4" s="552" t="s">
        <v>215</v>
      </c>
      <c r="B4" s="552"/>
      <c r="C4" s="552"/>
      <c r="D4" s="552"/>
      <c r="E4" s="16"/>
    </row>
    <row r="5" spans="1:5" ht="12.75">
      <c r="A5" s="552" t="s">
        <v>748</v>
      </c>
      <c r="B5" s="552"/>
      <c r="C5" s="552"/>
      <c r="D5" s="552"/>
      <c r="E5" s="16"/>
    </row>
    <row r="9" spans="1:5" ht="12.75">
      <c r="A9" s="214" t="s">
        <v>750</v>
      </c>
      <c r="B9" s="205"/>
      <c r="C9" s="205"/>
      <c r="D9" s="225">
        <f>Jan20!D69</f>
        <v>93587952.88</v>
      </c>
      <c r="E9" s="79"/>
    </row>
    <row r="10" spans="1:5" ht="12.75">
      <c r="A10" s="214" t="s">
        <v>358</v>
      </c>
      <c r="B10" s="205"/>
      <c r="C10" s="205"/>
      <c r="D10" s="237"/>
      <c r="E10" s="109"/>
    </row>
    <row r="11" spans="1:5" ht="12.75">
      <c r="A11" s="238" t="s">
        <v>359</v>
      </c>
      <c r="B11" s="215"/>
      <c r="C11" s="215"/>
      <c r="D11" s="237">
        <v>0</v>
      </c>
      <c r="E11" s="79"/>
    </row>
    <row r="12" spans="1:5" ht="12.75">
      <c r="A12" s="238" t="s">
        <v>360</v>
      </c>
      <c r="B12" s="215"/>
      <c r="C12" s="215"/>
      <c r="D12" s="237">
        <v>0</v>
      </c>
      <c r="E12" s="79"/>
    </row>
    <row r="13" spans="1:5" ht="12.75">
      <c r="A13" s="238" t="s">
        <v>361</v>
      </c>
      <c r="B13" s="215"/>
      <c r="C13" s="215"/>
      <c r="D13" s="239">
        <v>0</v>
      </c>
      <c r="E13" s="79"/>
    </row>
    <row r="14" spans="1:5" ht="12.75">
      <c r="A14" s="240" t="s">
        <v>362</v>
      </c>
      <c r="B14" s="157"/>
      <c r="C14" s="157"/>
      <c r="D14" s="241">
        <f>D9+D13</f>
        <v>93587952.88</v>
      </c>
      <c r="E14" s="79"/>
    </row>
    <row r="15" spans="1:5" ht="21" customHeight="1">
      <c r="A15" s="240"/>
      <c r="B15" s="157"/>
      <c r="C15" s="157"/>
      <c r="D15" s="242"/>
      <c r="E15" s="95"/>
    </row>
    <row r="16" spans="1:5" ht="12.75">
      <c r="A16" s="214" t="s">
        <v>358</v>
      </c>
      <c r="B16" s="157"/>
      <c r="C16" s="157"/>
      <c r="D16" s="242"/>
      <c r="E16" s="79"/>
    </row>
    <row r="17" spans="1:5" ht="12.75">
      <c r="A17" s="214" t="s">
        <v>363</v>
      </c>
      <c r="B17" s="205"/>
      <c r="C17" s="205"/>
      <c r="D17" s="242"/>
      <c r="E17" s="78"/>
    </row>
    <row r="18" spans="1:5" ht="12.75">
      <c r="A18" s="238" t="s">
        <v>364</v>
      </c>
      <c r="B18" s="215"/>
      <c r="C18" s="215"/>
      <c r="D18" s="242">
        <f>'DetSFPerf 1st Qtr'!C139</f>
        <v>-243411.1899999939</v>
      </c>
      <c r="E18" s="78"/>
    </row>
    <row r="19" spans="1:8" s="77" customFormat="1" ht="14.25">
      <c r="A19" s="238" t="s">
        <v>517</v>
      </c>
      <c r="B19" s="215"/>
      <c r="C19" s="215"/>
      <c r="D19" s="242">
        <v>0</v>
      </c>
      <c r="E19" s="78"/>
      <c r="F19" s="76"/>
      <c r="G19" s="76"/>
      <c r="H19" s="76"/>
    </row>
    <row r="20" spans="1:8" s="77" customFormat="1" ht="14.25">
      <c r="A20" s="238" t="s">
        <v>518</v>
      </c>
      <c r="B20" s="215"/>
      <c r="C20" s="215"/>
      <c r="D20" s="242">
        <v>0</v>
      </c>
      <c r="E20" s="87"/>
      <c r="F20" s="76"/>
      <c r="G20" s="76"/>
      <c r="H20" s="76"/>
    </row>
    <row r="21" spans="1:8" s="77" customFormat="1" ht="12.75">
      <c r="A21" s="213"/>
      <c r="B21" s="215"/>
      <c r="C21" s="215"/>
      <c r="D21" s="237"/>
      <c r="E21" s="16"/>
      <c r="F21" s="76"/>
      <c r="G21" s="76"/>
      <c r="H21" s="76"/>
    </row>
    <row r="22" spans="1:8" s="77" customFormat="1" ht="13.5" thickBot="1">
      <c r="A22" s="214" t="s">
        <v>751</v>
      </c>
      <c r="B22" s="205"/>
      <c r="C22" s="205"/>
      <c r="D22" s="224">
        <f>+D14+D18</f>
        <v>93344541.69</v>
      </c>
      <c r="E22" s="88"/>
      <c r="F22" s="76"/>
      <c r="G22" s="76"/>
      <c r="H22" s="76"/>
    </row>
    <row r="23" spans="1:8" s="77" customFormat="1" ht="13.5" thickTop="1">
      <c r="A23" s="16"/>
      <c r="C23" s="1"/>
      <c r="D23" s="89">
        <f>D22-'DetSFP 1st Qtr'!F143</f>
        <v>0</v>
      </c>
      <c r="E23" s="88"/>
      <c r="F23" s="76"/>
      <c r="G23" s="76"/>
      <c r="H23" s="76"/>
    </row>
    <row r="24" ht="12.75">
      <c r="E24" s="78"/>
    </row>
    <row r="25" ht="12.75">
      <c r="E25" s="78"/>
    </row>
    <row r="26" spans="1:4" ht="12.75">
      <c r="A26" s="16" t="s">
        <v>25</v>
      </c>
      <c r="B26" s="77"/>
      <c r="D26" s="1" t="s">
        <v>55</v>
      </c>
    </row>
    <row r="27" spans="1:4" ht="12.75">
      <c r="A27" s="16"/>
      <c r="B27" s="77"/>
      <c r="C27" s="99"/>
      <c r="D27" s="99"/>
    </row>
    <row r="28" spans="1:4" ht="12.75">
      <c r="A28" s="16"/>
      <c r="B28" s="77"/>
      <c r="C28" s="100"/>
      <c r="D28" s="100"/>
    </row>
    <row r="29" spans="1:4" ht="12.75">
      <c r="A29" s="17" t="s">
        <v>658</v>
      </c>
      <c r="B29" s="77"/>
      <c r="C29" s="20"/>
      <c r="D29" s="20" t="s">
        <v>712</v>
      </c>
    </row>
    <row r="30" spans="1:4" ht="12.75">
      <c r="A30" s="16" t="s">
        <v>210</v>
      </c>
      <c r="B30" s="77"/>
      <c r="D30" s="1" t="s">
        <v>224</v>
      </c>
    </row>
  </sheetData>
  <sheetProtection/>
  <mergeCells count="4">
    <mergeCell ref="A2:D2"/>
    <mergeCell ref="A3:D3"/>
    <mergeCell ref="A4:D4"/>
    <mergeCell ref="A5:D5"/>
  </mergeCells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0"/>
  <sheetViews>
    <sheetView zoomScalePageLayoutView="0" workbookViewId="0" topLeftCell="A10">
      <selection activeCell="A7" sqref="A7:D202"/>
    </sheetView>
  </sheetViews>
  <sheetFormatPr defaultColWidth="9.140625" defaultRowHeight="12.75"/>
  <cols>
    <col min="1" max="1" width="4.00390625" style="77" customWidth="1"/>
    <col min="2" max="2" width="4.8515625" style="77" customWidth="1"/>
    <col min="3" max="3" width="58.28125" style="77" customWidth="1"/>
    <col min="4" max="4" width="20.57421875" style="77" customWidth="1"/>
    <col min="5" max="5" width="17.421875" style="77" hidden="1" customWidth="1"/>
    <col min="6" max="6" width="14.00390625" style="32" hidden="1" customWidth="1"/>
    <col min="7" max="7" width="18.421875" style="77" hidden="1" customWidth="1"/>
    <col min="8" max="8" width="14.00390625" style="77" bestFit="1" customWidth="1"/>
    <col min="9" max="16384" width="9.140625" style="77" customWidth="1"/>
  </cols>
  <sheetData>
    <row r="1" spans="1:5" ht="15">
      <c r="A1" s="555" t="s">
        <v>1</v>
      </c>
      <c r="B1" s="555"/>
      <c r="C1" s="555"/>
      <c r="D1" s="555"/>
      <c r="E1" s="555"/>
    </row>
    <row r="2" spans="1:5" ht="12.75">
      <c r="A2" s="551" t="s">
        <v>96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">
        <v>748</v>
      </c>
      <c r="B4" s="552"/>
      <c r="C4" s="552"/>
      <c r="D4" s="552"/>
      <c r="E4" s="552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94" t="s">
        <v>365</v>
      </c>
      <c r="B7" s="194"/>
      <c r="C7" s="194"/>
      <c r="D7" s="199"/>
      <c r="E7" s="1"/>
    </row>
    <row r="8" spans="1:5" ht="12.75">
      <c r="A8" s="194"/>
      <c r="B8" s="194"/>
      <c r="C8" s="194"/>
      <c r="D8" s="199"/>
      <c r="E8" s="1"/>
    </row>
    <row r="9" spans="1:5" ht="12.75">
      <c r="A9" s="195" t="s">
        <v>366</v>
      </c>
      <c r="B9" s="194"/>
      <c r="C9" s="194"/>
      <c r="D9" s="199"/>
      <c r="E9" s="79"/>
    </row>
    <row r="10" spans="1:5" ht="12.75">
      <c r="A10" s="200"/>
      <c r="B10" s="201" t="s">
        <v>367</v>
      </c>
      <c r="C10" s="201"/>
      <c r="D10" s="223">
        <f>D11+D12+D13</f>
        <v>49408823.35</v>
      </c>
      <c r="E10" s="92"/>
    </row>
    <row r="11" spans="1:5" ht="12.75">
      <c r="A11" s="200"/>
      <c r="B11" s="201"/>
      <c r="C11" s="201" t="s">
        <v>367</v>
      </c>
      <c r="D11" s="227">
        <f>'[1]Mar 2020'!$L$13</f>
        <v>29200115</v>
      </c>
      <c r="E11" s="92"/>
    </row>
    <row r="12" spans="1:5" ht="12.75">
      <c r="A12" s="200"/>
      <c r="B12" s="201"/>
      <c r="C12" s="201" t="s">
        <v>368</v>
      </c>
      <c r="D12" s="227">
        <f>'[1]Mar 2020'!$L$14</f>
        <v>20208708.35</v>
      </c>
      <c r="E12" s="95"/>
    </row>
    <row r="13" spans="1:5" ht="12.75">
      <c r="A13" s="200"/>
      <c r="B13" s="201"/>
      <c r="C13" s="201" t="s">
        <v>369</v>
      </c>
      <c r="D13" s="227">
        <v>0</v>
      </c>
      <c r="E13" s="79"/>
    </row>
    <row r="14" spans="1:5" ht="12.75">
      <c r="A14" s="200"/>
      <c r="B14" s="201"/>
      <c r="C14" s="201" t="s">
        <v>370</v>
      </c>
      <c r="D14" s="222">
        <v>0</v>
      </c>
      <c r="E14" s="79"/>
    </row>
    <row r="15" spans="1:5" ht="12.75">
      <c r="A15" s="200"/>
      <c r="B15" s="201"/>
      <c r="C15" s="201"/>
      <c r="D15" s="222"/>
      <c r="E15" s="79"/>
    </row>
    <row r="16" spans="1:5" ht="12.75">
      <c r="A16" s="200"/>
      <c r="B16" s="201"/>
      <c r="C16" s="201"/>
      <c r="D16" s="222"/>
      <c r="E16" s="79"/>
    </row>
    <row r="17" spans="1:5" ht="12.75">
      <c r="A17" s="200"/>
      <c r="B17" s="201" t="s">
        <v>752</v>
      </c>
      <c r="C17" s="201"/>
      <c r="D17" s="223">
        <f>D18</f>
        <v>15000</v>
      </c>
      <c r="E17" s="79"/>
    </row>
    <row r="18" spans="1:5" ht="12.75">
      <c r="A18" s="200"/>
      <c r="B18" s="201"/>
      <c r="C18" s="201" t="s">
        <v>753</v>
      </c>
      <c r="D18" s="222">
        <v>15000</v>
      </c>
      <c r="E18" s="79"/>
    </row>
    <row r="19" spans="1:5" ht="12.75">
      <c r="A19" s="200"/>
      <c r="B19" s="201"/>
      <c r="C19" s="201"/>
      <c r="D19" s="222"/>
      <c r="E19" s="79"/>
    </row>
    <row r="20" spans="1:5" ht="12.75">
      <c r="A20" s="200"/>
      <c r="B20" s="201"/>
      <c r="C20" s="201"/>
      <c r="D20" s="222"/>
      <c r="E20" s="79"/>
    </row>
    <row r="21" spans="1:5" ht="12.75">
      <c r="A21" s="209" t="s">
        <v>97</v>
      </c>
      <c r="B21" s="210"/>
      <c r="C21" s="195"/>
      <c r="D21" s="230">
        <f>+D10+D17</f>
        <v>49423823.35</v>
      </c>
      <c r="E21" s="76"/>
    </row>
    <row r="22" spans="1:5" ht="12.75">
      <c r="A22" s="195"/>
      <c r="B22" s="194"/>
      <c r="C22" s="194"/>
      <c r="D22" s="227"/>
      <c r="E22" s="76"/>
    </row>
    <row r="23" spans="1:7" ht="12.75">
      <c r="A23" s="195" t="s">
        <v>372</v>
      </c>
      <c r="B23" s="194"/>
      <c r="C23" s="194"/>
      <c r="D23" s="227"/>
      <c r="E23" s="76" t="s">
        <v>546</v>
      </c>
      <c r="F23" s="32" t="s">
        <v>547</v>
      </c>
      <c r="G23" s="77" t="s">
        <v>548</v>
      </c>
    </row>
    <row r="24" spans="1:5" ht="12.75">
      <c r="A24" s="200"/>
      <c r="B24" s="201" t="s">
        <v>373</v>
      </c>
      <c r="C24" s="201"/>
      <c r="D24" s="227"/>
      <c r="E24" s="76"/>
    </row>
    <row r="25" spans="1:7" ht="12.75">
      <c r="A25" s="200"/>
      <c r="B25" s="201"/>
      <c r="C25" s="201" t="s">
        <v>374</v>
      </c>
      <c r="D25" s="227">
        <v>9833801.11</v>
      </c>
      <c r="E25" s="227">
        <v>1786925.99</v>
      </c>
      <c r="F25" s="32">
        <v>5105127.24</v>
      </c>
      <c r="G25" s="77">
        <v>1904493.88</v>
      </c>
    </row>
    <row r="26" spans="1:7" ht="12.75">
      <c r="A26" s="200"/>
      <c r="B26" s="201"/>
      <c r="C26" s="201" t="s">
        <v>375</v>
      </c>
      <c r="D26" s="227">
        <v>39540822.24</v>
      </c>
      <c r="E26" s="227">
        <f>3531125.6-E25-E39-E41-E42-E59-E61</f>
        <v>1179190.59</v>
      </c>
      <c r="F26" s="227">
        <f>57013517.7-F27-F39-F41-F59-F61-F25</f>
        <v>51097337.660000004</v>
      </c>
      <c r="G26" s="227">
        <f>28253612.89-G25-G27-G41-G59-G61</f>
        <v>25120569.160000004</v>
      </c>
    </row>
    <row r="27" spans="1:7" ht="12.75">
      <c r="A27" s="200"/>
      <c r="B27" s="201"/>
      <c r="C27" s="201" t="s">
        <v>376</v>
      </c>
      <c r="D27" s="227">
        <f>'DetSFPerf 1st Qtr'!C125</f>
        <v>0</v>
      </c>
      <c r="E27" s="227"/>
      <c r="F27" s="32">
        <v>400</v>
      </c>
      <c r="G27" s="77">
        <v>650</v>
      </c>
    </row>
    <row r="28" spans="1:5" ht="12.75" hidden="1">
      <c r="A28" s="200"/>
      <c r="B28" s="201" t="s">
        <v>377</v>
      </c>
      <c r="C28" s="201"/>
      <c r="D28" s="227"/>
      <c r="E28" s="227"/>
    </row>
    <row r="29" spans="1:5" ht="12.75" hidden="1">
      <c r="A29" s="200"/>
      <c r="B29" s="201"/>
      <c r="C29" s="208" t="s">
        <v>378</v>
      </c>
      <c r="D29" s="227"/>
      <c r="E29" s="227"/>
    </row>
    <row r="30" spans="1:5" ht="12.75" hidden="1">
      <c r="A30" s="200"/>
      <c r="B30" s="201"/>
      <c r="C30" s="208" t="s">
        <v>379</v>
      </c>
      <c r="D30" s="227"/>
      <c r="E30" s="227"/>
    </row>
    <row r="31" spans="1:5" ht="12.75" hidden="1">
      <c r="A31" s="200"/>
      <c r="B31" s="201"/>
      <c r="C31" s="208" t="s">
        <v>380</v>
      </c>
      <c r="D31" s="227"/>
      <c r="E31" s="227"/>
    </row>
    <row r="32" spans="1:5" ht="12.75" hidden="1">
      <c r="A32" s="200"/>
      <c r="B32" s="201"/>
      <c r="C32" s="208" t="s">
        <v>381</v>
      </c>
      <c r="D32" s="227"/>
      <c r="E32" s="227"/>
    </row>
    <row r="33" spans="1:5" ht="12.75" hidden="1">
      <c r="A33" s="200"/>
      <c r="B33" s="192" t="s">
        <v>382</v>
      </c>
      <c r="C33" s="208"/>
      <c r="D33" s="227"/>
      <c r="E33" s="227"/>
    </row>
    <row r="34" spans="1:5" ht="12.75" hidden="1">
      <c r="A34" s="200"/>
      <c r="B34" s="192"/>
      <c r="C34" s="208" t="s">
        <v>383</v>
      </c>
      <c r="D34" s="227"/>
      <c r="E34" s="227"/>
    </row>
    <row r="35" spans="1:5" ht="12.75" hidden="1">
      <c r="A35" s="200"/>
      <c r="B35" s="192"/>
      <c r="C35" s="208" t="s">
        <v>384</v>
      </c>
      <c r="D35" s="227"/>
      <c r="E35" s="227"/>
    </row>
    <row r="36" spans="1:5" ht="12.75" hidden="1">
      <c r="A36" s="200"/>
      <c r="B36" s="192"/>
      <c r="C36" s="208" t="s">
        <v>385</v>
      </c>
      <c r="D36" s="227"/>
      <c r="E36" s="227"/>
    </row>
    <row r="37" spans="1:5" ht="12.75" hidden="1">
      <c r="A37" s="200"/>
      <c r="B37" s="192"/>
      <c r="C37" s="208" t="s">
        <v>386</v>
      </c>
      <c r="D37" s="227"/>
      <c r="E37" s="227"/>
    </row>
    <row r="38" spans="1:5" ht="12.75">
      <c r="A38" s="200"/>
      <c r="B38" s="201" t="s">
        <v>387</v>
      </c>
      <c r="C38" s="192"/>
      <c r="D38" s="227"/>
      <c r="E38" s="227"/>
    </row>
    <row r="39" spans="1:6" ht="12.75">
      <c r="A39" s="200"/>
      <c r="B39" s="201"/>
      <c r="C39" s="192" t="s">
        <v>388</v>
      </c>
      <c r="D39" s="227"/>
      <c r="E39" s="227">
        <v>4300</v>
      </c>
      <c r="F39" s="32">
        <v>4287</v>
      </c>
    </row>
    <row r="40" spans="1:5" ht="12.75">
      <c r="A40" s="200"/>
      <c r="B40" s="201"/>
      <c r="C40" s="192" t="s">
        <v>389</v>
      </c>
      <c r="D40" s="227"/>
      <c r="E40" s="227"/>
    </row>
    <row r="41" spans="1:7" ht="12.75">
      <c r="A41" s="200"/>
      <c r="B41" s="201"/>
      <c r="C41" s="192" t="s">
        <v>201</v>
      </c>
      <c r="D41" s="227"/>
      <c r="E41" s="227">
        <v>25000</v>
      </c>
      <c r="F41" s="32">
        <v>361000</v>
      </c>
      <c r="G41" s="77">
        <v>287000</v>
      </c>
    </row>
    <row r="42" spans="1:5" ht="12.75">
      <c r="A42" s="200"/>
      <c r="B42" s="201"/>
      <c r="C42" s="192" t="s">
        <v>390</v>
      </c>
      <c r="D42" s="227"/>
      <c r="E42" s="227">
        <v>2093</v>
      </c>
    </row>
    <row r="43" spans="1:5" ht="12.75" hidden="1">
      <c r="A43" s="200"/>
      <c r="B43" s="201" t="s">
        <v>311</v>
      </c>
      <c r="C43" s="208"/>
      <c r="D43" s="227"/>
      <c r="E43" s="227"/>
    </row>
    <row r="44" spans="1:5" ht="12.75" hidden="1">
      <c r="A44" s="200"/>
      <c r="B44" s="201"/>
      <c r="C44" s="208" t="s">
        <v>391</v>
      </c>
      <c r="D44" s="227"/>
      <c r="E44" s="227"/>
    </row>
    <row r="45" spans="1:5" ht="12.75" hidden="1">
      <c r="A45" s="200"/>
      <c r="B45" s="201"/>
      <c r="C45" s="192" t="s">
        <v>52</v>
      </c>
      <c r="D45" s="227"/>
      <c r="E45" s="227"/>
    </row>
    <row r="46" spans="1:5" ht="12.75" hidden="1">
      <c r="A46" s="200"/>
      <c r="B46" s="201"/>
      <c r="C46" s="192" t="s">
        <v>312</v>
      </c>
      <c r="D46" s="227"/>
      <c r="E46" s="227"/>
    </row>
    <row r="47" spans="1:5" ht="12.75" hidden="1">
      <c r="A47" s="200"/>
      <c r="B47" s="201"/>
      <c r="C47" s="192" t="s">
        <v>313</v>
      </c>
      <c r="D47" s="227"/>
      <c r="E47" s="227"/>
    </row>
    <row r="48" spans="1:5" ht="12.75" hidden="1">
      <c r="A48" s="200"/>
      <c r="B48" s="201"/>
      <c r="C48" s="192" t="s">
        <v>314</v>
      </c>
      <c r="D48" s="227"/>
      <c r="E48" s="227"/>
    </row>
    <row r="49" spans="1:5" ht="12.75" hidden="1">
      <c r="A49" s="200"/>
      <c r="B49" s="201"/>
      <c r="C49" s="192" t="s">
        <v>315</v>
      </c>
      <c r="D49" s="227"/>
      <c r="E49" s="227"/>
    </row>
    <row r="50" spans="1:5" ht="12.75" hidden="1">
      <c r="A50" s="200"/>
      <c r="B50" s="208" t="s">
        <v>392</v>
      </c>
      <c r="C50" s="208"/>
      <c r="D50" s="227"/>
      <c r="E50" s="227"/>
    </row>
    <row r="51" spans="1:5" ht="12.75" hidden="1">
      <c r="A51" s="200"/>
      <c r="B51" s="208"/>
      <c r="C51" s="208" t="s">
        <v>393</v>
      </c>
      <c r="D51" s="227"/>
      <c r="E51" s="227"/>
    </row>
    <row r="52" spans="1:5" ht="12.75" hidden="1">
      <c r="A52" s="200"/>
      <c r="B52" s="208"/>
      <c r="C52" s="192" t="s">
        <v>394</v>
      </c>
      <c r="D52" s="227"/>
      <c r="E52" s="227"/>
    </row>
    <row r="53" spans="1:5" ht="12.75" hidden="1">
      <c r="A53" s="200"/>
      <c r="B53" s="208"/>
      <c r="C53" s="208" t="s">
        <v>395</v>
      </c>
      <c r="D53" s="227"/>
      <c r="E53" s="227"/>
    </row>
    <row r="54" spans="1:5" ht="12.75">
      <c r="A54" s="163"/>
      <c r="B54" s="192" t="s">
        <v>396</v>
      </c>
      <c r="C54" s="192"/>
      <c r="D54" s="227"/>
      <c r="E54" s="227"/>
    </row>
    <row r="55" spans="1:5" ht="12.75">
      <c r="A55" s="163"/>
      <c r="B55" s="192" t="s">
        <v>598</v>
      </c>
      <c r="C55" s="192"/>
      <c r="D55" s="227"/>
      <c r="E55" s="227"/>
    </row>
    <row r="56" spans="1:5" ht="12.75">
      <c r="A56" s="163"/>
      <c r="B56" s="192" t="s">
        <v>597</v>
      </c>
      <c r="C56" s="192"/>
      <c r="D56" s="227"/>
      <c r="E56" s="227"/>
    </row>
    <row r="57" spans="1:5" ht="12.75">
      <c r="A57" s="163"/>
      <c r="B57" s="192" t="s">
        <v>397</v>
      </c>
      <c r="C57" s="192"/>
      <c r="D57" s="227"/>
      <c r="E57" s="227"/>
    </row>
    <row r="58" spans="1:5" ht="12.75">
      <c r="A58" s="163"/>
      <c r="B58" s="192"/>
      <c r="C58" s="192" t="s">
        <v>398</v>
      </c>
      <c r="D58" s="227"/>
      <c r="E58" s="227"/>
    </row>
    <row r="59" spans="1:7" ht="12.75">
      <c r="A59" s="163"/>
      <c r="B59" s="192"/>
      <c r="C59" s="192" t="s">
        <v>399</v>
      </c>
      <c r="D59" s="227"/>
      <c r="E59" s="227">
        <v>391989.04</v>
      </c>
      <c r="F59" s="32">
        <v>323912.07</v>
      </c>
      <c r="G59" s="77">
        <v>816336.61</v>
      </c>
    </row>
    <row r="60" spans="1:5" ht="12.75">
      <c r="A60" s="163"/>
      <c r="B60" s="192"/>
      <c r="C60" s="192" t="s">
        <v>400</v>
      </c>
      <c r="D60" s="227"/>
      <c r="E60" s="227"/>
    </row>
    <row r="61" spans="1:7" ht="12.75">
      <c r="A61" s="163"/>
      <c r="B61" s="192"/>
      <c r="C61" s="192" t="s">
        <v>401</v>
      </c>
      <c r="D61" s="223"/>
      <c r="E61" s="223">
        <v>141626.98</v>
      </c>
      <c r="F61" s="91">
        <v>121453.73</v>
      </c>
      <c r="G61" s="244">
        <v>124563.24</v>
      </c>
    </row>
    <row r="62" spans="1:5" ht="12.75" hidden="1">
      <c r="A62" s="163"/>
      <c r="B62" s="192" t="s">
        <v>402</v>
      </c>
      <c r="C62" s="192"/>
      <c r="D62" s="227"/>
      <c r="E62" s="227"/>
    </row>
    <row r="63" spans="1:5" ht="12.75" hidden="1">
      <c r="A63" s="163"/>
      <c r="B63" s="192"/>
      <c r="C63" s="192" t="s">
        <v>403</v>
      </c>
      <c r="D63" s="227"/>
      <c r="E63" s="227"/>
    </row>
    <row r="64" spans="1:5" ht="12.75" hidden="1">
      <c r="A64" s="163"/>
      <c r="B64" s="192"/>
      <c r="C64" s="192" t="s">
        <v>404</v>
      </c>
      <c r="D64" s="227"/>
      <c r="E64" s="227"/>
    </row>
    <row r="65" spans="1:5" ht="12.75" hidden="1">
      <c r="A65" s="163"/>
      <c r="B65" s="192"/>
      <c r="C65" s="192" t="s">
        <v>405</v>
      </c>
      <c r="D65" s="227"/>
      <c r="E65" s="227"/>
    </row>
    <row r="66" spans="1:5" ht="12.75" hidden="1">
      <c r="A66" s="163"/>
      <c r="B66" s="192"/>
      <c r="C66" s="192" t="s">
        <v>406</v>
      </c>
      <c r="D66" s="227"/>
      <c r="E66" s="227"/>
    </row>
    <row r="67" spans="1:5" ht="12.75" hidden="1">
      <c r="A67" s="163"/>
      <c r="B67" s="192"/>
      <c r="C67" s="192" t="s">
        <v>407</v>
      </c>
      <c r="D67" s="227"/>
      <c r="E67" s="227"/>
    </row>
    <row r="68" spans="1:5" ht="12.75" hidden="1">
      <c r="A68" s="163"/>
      <c r="B68" s="192" t="s">
        <v>408</v>
      </c>
      <c r="C68" s="192"/>
      <c r="D68" s="227"/>
      <c r="E68" s="227"/>
    </row>
    <row r="69" spans="1:5" ht="12.75" hidden="1">
      <c r="A69" s="163"/>
      <c r="B69" s="192"/>
      <c r="C69" s="201" t="s">
        <v>409</v>
      </c>
      <c r="D69" s="227"/>
      <c r="E69" s="227"/>
    </row>
    <row r="70" spans="1:5" ht="12.75" hidden="1">
      <c r="A70" s="163"/>
      <c r="B70" s="192"/>
      <c r="C70" s="192" t="s">
        <v>410</v>
      </c>
      <c r="D70" s="227"/>
      <c r="E70" s="227"/>
    </row>
    <row r="71" spans="1:5" ht="12.75" hidden="1">
      <c r="A71" s="163"/>
      <c r="B71" s="192"/>
      <c r="C71" s="192" t="s">
        <v>411</v>
      </c>
      <c r="D71" s="227"/>
      <c r="E71" s="227"/>
    </row>
    <row r="72" spans="1:5" ht="12.75" hidden="1">
      <c r="A72" s="163"/>
      <c r="B72" s="192"/>
      <c r="C72" s="192" t="s">
        <v>412</v>
      </c>
      <c r="D72" s="227"/>
      <c r="E72" s="227"/>
    </row>
    <row r="73" spans="1:5" ht="12.75" hidden="1">
      <c r="A73" s="163"/>
      <c r="B73" s="192" t="s">
        <v>413</v>
      </c>
      <c r="C73" s="192"/>
      <c r="D73" s="227"/>
      <c r="E73" s="227"/>
    </row>
    <row r="74" spans="1:5" ht="12.75" hidden="1">
      <c r="A74" s="163"/>
      <c r="B74" s="192"/>
      <c r="C74" s="192" t="s">
        <v>414</v>
      </c>
      <c r="D74" s="227"/>
      <c r="E74" s="227"/>
    </row>
    <row r="75" spans="1:5" ht="12.75" hidden="1">
      <c r="A75" s="163"/>
      <c r="B75" s="192"/>
      <c r="C75" s="192" t="s">
        <v>415</v>
      </c>
      <c r="D75" s="227"/>
      <c r="E75" s="227"/>
    </row>
    <row r="76" spans="1:5" ht="12.75" hidden="1">
      <c r="A76" s="163"/>
      <c r="B76" s="192"/>
      <c r="C76" s="192" t="s">
        <v>416</v>
      </c>
      <c r="D76" s="227"/>
      <c r="E76" s="227"/>
    </row>
    <row r="77" spans="1:5" ht="12.75" hidden="1">
      <c r="A77" s="163"/>
      <c r="B77" s="192"/>
      <c r="C77" s="192" t="s">
        <v>417</v>
      </c>
      <c r="D77" s="227"/>
      <c r="E77" s="227"/>
    </row>
    <row r="78" spans="1:5" ht="12.75" hidden="1">
      <c r="A78" s="200"/>
      <c r="B78" s="208" t="s">
        <v>418</v>
      </c>
      <c r="C78" s="201"/>
      <c r="D78" s="227"/>
      <c r="E78" s="227"/>
    </row>
    <row r="79" spans="1:5" ht="12.75" hidden="1">
      <c r="A79" s="200"/>
      <c r="B79" s="208"/>
      <c r="C79" s="201" t="s">
        <v>419</v>
      </c>
      <c r="D79" s="227"/>
      <c r="E79" s="227"/>
    </row>
    <row r="80" spans="1:5" ht="12.75" hidden="1">
      <c r="A80" s="200"/>
      <c r="B80" s="208"/>
      <c r="C80" s="201" t="s">
        <v>420</v>
      </c>
      <c r="D80" s="227"/>
      <c r="E80" s="227"/>
    </row>
    <row r="81" spans="1:5" ht="12.75" hidden="1">
      <c r="A81" s="200"/>
      <c r="B81" s="208"/>
      <c r="C81" s="201" t="s">
        <v>421</v>
      </c>
      <c r="D81" s="227"/>
      <c r="E81" s="227"/>
    </row>
    <row r="82" spans="1:5" ht="12.75" hidden="1">
      <c r="A82" s="200"/>
      <c r="B82" s="208"/>
      <c r="C82" s="201" t="s">
        <v>422</v>
      </c>
      <c r="D82" s="227"/>
      <c r="E82" s="227"/>
    </row>
    <row r="83" spans="1:5" ht="12.75" hidden="1">
      <c r="A83" s="200"/>
      <c r="B83" s="208"/>
      <c r="C83" s="201" t="s">
        <v>423</v>
      </c>
      <c r="D83" s="227"/>
      <c r="E83" s="227"/>
    </row>
    <row r="84" spans="1:5" ht="12.75" hidden="1">
      <c r="A84" s="200"/>
      <c r="B84" s="208"/>
      <c r="C84" s="201" t="s">
        <v>424</v>
      </c>
      <c r="D84" s="227"/>
      <c r="E84" s="227"/>
    </row>
    <row r="85" spans="1:5" ht="12.75" hidden="1">
      <c r="A85" s="200"/>
      <c r="B85" s="208"/>
      <c r="C85" s="201" t="s">
        <v>425</v>
      </c>
      <c r="D85" s="227"/>
      <c r="E85" s="227"/>
    </row>
    <row r="86" spans="1:5" ht="12.75" hidden="1">
      <c r="A86" s="200"/>
      <c r="B86" s="211" t="s">
        <v>426</v>
      </c>
      <c r="C86" s="206"/>
      <c r="D86" s="228"/>
      <c r="E86" s="228"/>
    </row>
    <row r="87" spans="1:5" ht="12.75" hidden="1">
      <c r="A87" s="200"/>
      <c r="B87" s="208" t="s">
        <v>371</v>
      </c>
      <c r="C87" s="201"/>
      <c r="D87" s="223"/>
      <c r="E87" s="223"/>
    </row>
    <row r="88" spans="1:5" ht="12.75" hidden="1">
      <c r="A88" s="200"/>
      <c r="B88" s="196"/>
      <c r="C88" s="197" t="s">
        <v>427</v>
      </c>
      <c r="D88" s="227" t="s">
        <v>355</v>
      </c>
      <c r="E88" s="227" t="s">
        <v>355</v>
      </c>
    </row>
    <row r="89" spans="1:5" ht="12.75" hidden="1">
      <c r="A89" s="200"/>
      <c r="B89" s="196"/>
      <c r="C89" s="197" t="s">
        <v>428</v>
      </c>
      <c r="D89" s="227" t="s">
        <v>355</v>
      </c>
      <c r="E89" s="227" t="s">
        <v>355</v>
      </c>
    </row>
    <row r="90" spans="1:5" ht="12.75" hidden="1">
      <c r="A90" s="200"/>
      <c r="B90" s="196"/>
      <c r="C90" s="197" t="s">
        <v>429</v>
      </c>
      <c r="D90" s="227" t="s">
        <v>355</v>
      </c>
      <c r="E90" s="227" t="s">
        <v>355</v>
      </c>
    </row>
    <row r="91" spans="1:5" ht="12.75" hidden="1">
      <c r="A91" s="200"/>
      <c r="B91" s="196"/>
      <c r="C91" s="197" t="s">
        <v>430</v>
      </c>
      <c r="D91" s="227" t="s">
        <v>355</v>
      </c>
      <c r="E91" s="227" t="s">
        <v>355</v>
      </c>
    </row>
    <row r="92" spans="1:5" ht="12.75" hidden="1">
      <c r="A92" s="200"/>
      <c r="B92" s="196"/>
      <c r="C92" s="197" t="s">
        <v>431</v>
      </c>
      <c r="D92" s="227" t="s">
        <v>355</v>
      </c>
      <c r="E92" s="227" t="s">
        <v>355</v>
      </c>
    </row>
    <row r="93" spans="1:7" ht="12.75">
      <c r="A93" s="199"/>
      <c r="B93" s="204" t="s">
        <v>99</v>
      </c>
      <c r="C93" s="194"/>
      <c r="D93" s="223">
        <f>SUM(D25:D92)</f>
        <v>49374623.35</v>
      </c>
      <c r="E93" s="222">
        <f>SUM(E25:E92)</f>
        <v>3531125.6</v>
      </c>
      <c r="F93" s="222">
        <f>SUM(F25:F92)</f>
        <v>57013517.7</v>
      </c>
      <c r="G93" s="222">
        <f>SUM(G25:G92)</f>
        <v>28253612.89</v>
      </c>
    </row>
    <row r="94" spans="1:4" ht="12.75">
      <c r="A94" s="212"/>
      <c r="B94" s="197"/>
      <c r="C94" s="197"/>
      <c r="D94" s="227"/>
    </row>
    <row r="95" spans="1:4" ht="12.75">
      <c r="A95" s="198" t="s">
        <v>432</v>
      </c>
      <c r="B95" s="194"/>
      <c r="C95" s="194"/>
      <c r="D95" s="223">
        <f>D21-D93</f>
        <v>49200</v>
      </c>
    </row>
    <row r="96" spans="1:4" ht="12.75">
      <c r="A96" s="198"/>
      <c r="B96" s="194"/>
      <c r="C96" s="194"/>
      <c r="D96" s="227"/>
    </row>
    <row r="97" spans="1:4" ht="12.75" hidden="1">
      <c r="A97" s="198" t="s">
        <v>433</v>
      </c>
      <c r="B97" s="194"/>
      <c r="C97" s="194"/>
      <c r="D97" s="227"/>
    </row>
    <row r="98" spans="1:4" ht="12.75" hidden="1">
      <c r="A98" s="198"/>
      <c r="B98" s="194"/>
      <c r="C98" s="194"/>
      <c r="D98" s="227"/>
    </row>
    <row r="99" spans="1:4" ht="12.75" hidden="1">
      <c r="A99" s="204" t="s">
        <v>366</v>
      </c>
      <c r="B99" s="194"/>
      <c r="C99" s="194"/>
      <c r="D99" s="227">
        <v>0</v>
      </c>
    </row>
    <row r="100" spans="1:4" ht="12.75" hidden="1">
      <c r="A100" s="200"/>
      <c r="B100" s="201" t="s">
        <v>434</v>
      </c>
      <c r="C100" s="197"/>
      <c r="D100" s="227" t="s">
        <v>355</v>
      </c>
    </row>
    <row r="101" spans="1:4" ht="12.75" hidden="1">
      <c r="A101" s="200"/>
      <c r="B101" s="201" t="s">
        <v>435</v>
      </c>
      <c r="C101" s="197"/>
      <c r="D101" s="227" t="s">
        <v>355</v>
      </c>
    </row>
    <row r="102" spans="1:4" ht="12.75" hidden="1">
      <c r="A102" s="200"/>
      <c r="B102" s="201" t="s">
        <v>436</v>
      </c>
      <c r="C102" s="197"/>
      <c r="D102" s="227" t="s">
        <v>355</v>
      </c>
    </row>
    <row r="103" spans="1:4" ht="12.75" hidden="1">
      <c r="A103" s="200"/>
      <c r="B103" s="207"/>
      <c r="C103" s="197" t="s">
        <v>437</v>
      </c>
      <c r="D103" s="227" t="s">
        <v>355</v>
      </c>
    </row>
    <row r="104" spans="1:4" ht="12.75" hidden="1">
      <c r="A104" s="200"/>
      <c r="B104" s="207"/>
      <c r="C104" s="197" t="s">
        <v>438</v>
      </c>
      <c r="D104" s="227" t="s">
        <v>355</v>
      </c>
    </row>
    <row r="105" spans="1:4" ht="12.75" hidden="1">
      <c r="A105" s="200"/>
      <c r="B105" s="207"/>
      <c r="C105" s="197" t="s">
        <v>439</v>
      </c>
      <c r="D105" s="227" t="s">
        <v>355</v>
      </c>
    </row>
    <row r="106" spans="1:4" ht="12.75" hidden="1">
      <c r="A106" s="200"/>
      <c r="B106" s="207"/>
      <c r="C106" s="197" t="s">
        <v>440</v>
      </c>
      <c r="D106" s="227" t="s">
        <v>355</v>
      </c>
    </row>
    <row r="107" spans="1:4" ht="12.75" hidden="1">
      <c r="A107" s="200"/>
      <c r="B107" s="201" t="s">
        <v>441</v>
      </c>
      <c r="C107" s="197"/>
      <c r="D107" s="227" t="s">
        <v>355</v>
      </c>
    </row>
    <row r="108" spans="1:4" ht="12.75" hidden="1">
      <c r="A108" s="200"/>
      <c r="B108" s="201" t="s">
        <v>442</v>
      </c>
      <c r="C108" s="197"/>
      <c r="D108" s="227" t="s">
        <v>355</v>
      </c>
    </row>
    <row r="109" spans="1:4" ht="12.75" hidden="1">
      <c r="A109" s="200"/>
      <c r="B109" s="207"/>
      <c r="C109" s="197" t="s">
        <v>443</v>
      </c>
      <c r="D109" s="227" t="s">
        <v>355</v>
      </c>
    </row>
    <row r="110" spans="1:4" ht="12.75" hidden="1">
      <c r="A110" s="200"/>
      <c r="B110" s="207"/>
      <c r="C110" s="197" t="s">
        <v>444</v>
      </c>
      <c r="D110" s="227" t="s">
        <v>355</v>
      </c>
    </row>
    <row r="111" spans="1:4" ht="12.75" hidden="1">
      <c r="A111" s="200"/>
      <c r="B111" s="207"/>
      <c r="C111" s="197" t="s">
        <v>445</v>
      </c>
      <c r="D111" s="227" t="s">
        <v>355</v>
      </c>
    </row>
    <row r="112" spans="1:4" ht="12.75" hidden="1">
      <c r="A112" s="200"/>
      <c r="B112" s="207"/>
      <c r="C112" s="197" t="s">
        <v>446</v>
      </c>
      <c r="D112" s="227" t="s">
        <v>355</v>
      </c>
    </row>
    <row r="113" spans="1:4" ht="12.75" hidden="1">
      <c r="A113" s="200"/>
      <c r="B113" s="201" t="s">
        <v>447</v>
      </c>
      <c r="C113" s="197"/>
      <c r="D113" s="227" t="s">
        <v>355</v>
      </c>
    </row>
    <row r="114" spans="1:4" ht="12.75" hidden="1">
      <c r="A114" s="200"/>
      <c r="B114" s="201"/>
      <c r="C114" s="197" t="s">
        <v>448</v>
      </c>
      <c r="D114" s="227" t="s">
        <v>355</v>
      </c>
    </row>
    <row r="115" spans="1:4" ht="12.75" hidden="1">
      <c r="A115" s="200"/>
      <c r="B115" s="201"/>
      <c r="C115" s="197" t="s">
        <v>449</v>
      </c>
      <c r="D115" s="227" t="s">
        <v>355</v>
      </c>
    </row>
    <row r="116" spans="1:4" ht="12.75" hidden="1">
      <c r="A116" s="200"/>
      <c r="B116" s="201" t="s">
        <v>450</v>
      </c>
      <c r="C116" s="197"/>
      <c r="D116" s="227" t="s">
        <v>355</v>
      </c>
    </row>
    <row r="117" spans="1:4" ht="12.75" hidden="1">
      <c r="A117" s="200"/>
      <c r="B117" s="208" t="s">
        <v>371</v>
      </c>
      <c r="C117" s="201"/>
      <c r="D117" s="223" t="s">
        <v>355</v>
      </c>
    </row>
    <row r="118" spans="1:4" ht="12.75" hidden="1">
      <c r="A118" s="209" t="s">
        <v>97</v>
      </c>
      <c r="B118" s="194"/>
      <c r="C118" s="194"/>
      <c r="D118" s="229">
        <f>+D99</f>
        <v>0</v>
      </c>
    </row>
    <row r="119" spans="1:4" ht="12.75" hidden="1">
      <c r="A119" s="209"/>
      <c r="B119" s="194"/>
      <c r="C119" s="194"/>
      <c r="D119" s="222"/>
    </row>
    <row r="120" spans="1:4" ht="12.75" hidden="1">
      <c r="A120" s="195" t="s">
        <v>372</v>
      </c>
      <c r="B120" s="194"/>
      <c r="C120" s="194"/>
      <c r="D120" s="227"/>
    </row>
    <row r="121" spans="1:4" ht="12.75" hidden="1">
      <c r="A121" s="200"/>
      <c r="B121" s="201" t="s">
        <v>451</v>
      </c>
      <c r="C121" s="197"/>
      <c r="D121" s="227" t="s">
        <v>355</v>
      </c>
    </row>
    <row r="122" spans="1:4" ht="12.75" hidden="1">
      <c r="A122" s="200"/>
      <c r="B122" s="201" t="s">
        <v>452</v>
      </c>
      <c r="C122" s="197"/>
      <c r="D122" s="227" t="s">
        <v>355</v>
      </c>
    </row>
    <row r="123" spans="1:4" ht="12.75" hidden="1">
      <c r="A123" s="200"/>
      <c r="B123" s="207"/>
      <c r="C123" s="197" t="s">
        <v>453</v>
      </c>
      <c r="D123" s="227" t="s">
        <v>355</v>
      </c>
    </row>
    <row r="124" spans="1:4" ht="12.75" hidden="1">
      <c r="A124" s="200"/>
      <c r="B124" s="207"/>
      <c r="C124" s="197" t="s">
        <v>454</v>
      </c>
      <c r="D124" s="227" t="s">
        <v>355</v>
      </c>
    </row>
    <row r="125" spans="1:4" ht="12.75" hidden="1">
      <c r="A125" s="200"/>
      <c r="B125" s="207"/>
      <c r="C125" s="197" t="s">
        <v>455</v>
      </c>
      <c r="D125" s="227" t="s">
        <v>355</v>
      </c>
    </row>
    <row r="126" spans="1:4" ht="12.75" hidden="1">
      <c r="A126" s="200"/>
      <c r="B126" s="207"/>
      <c r="C126" s="197" t="s">
        <v>456</v>
      </c>
      <c r="D126" s="227" t="s">
        <v>355</v>
      </c>
    </row>
    <row r="127" spans="1:4" ht="12.75" hidden="1">
      <c r="A127" s="200"/>
      <c r="B127" s="207"/>
      <c r="C127" s="197" t="s">
        <v>457</v>
      </c>
      <c r="D127" s="227"/>
    </row>
    <row r="128" spans="1:4" ht="12.75" hidden="1">
      <c r="A128" s="200"/>
      <c r="B128" s="207"/>
      <c r="C128" s="170" t="s">
        <v>458</v>
      </c>
      <c r="D128" s="227"/>
    </row>
    <row r="129" spans="1:4" ht="12.75" hidden="1">
      <c r="A129" s="200"/>
      <c r="B129" s="207"/>
      <c r="C129" s="196" t="s">
        <v>459</v>
      </c>
      <c r="D129" s="227"/>
    </row>
    <row r="130" spans="1:4" ht="12.75" hidden="1">
      <c r="A130" s="200"/>
      <c r="B130" s="207"/>
      <c r="C130" s="196" t="s">
        <v>519</v>
      </c>
      <c r="D130" s="227"/>
    </row>
    <row r="131" spans="1:4" ht="12.75" hidden="1">
      <c r="A131" s="200"/>
      <c r="B131" s="207"/>
      <c r="C131" s="170" t="s">
        <v>460</v>
      </c>
      <c r="D131" s="227" t="s">
        <v>355</v>
      </c>
    </row>
    <row r="132" spans="1:4" ht="12.75" hidden="1">
      <c r="A132" s="200"/>
      <c r="B132" s="207"/>
      <c r="C132" s="196" t="s">
        <v>461</v>
      </c>
      <c r="D132" s="227" t="s">
        <v>355</v>
      </c>
    </row>
    <row r="133" spans="1:4" ht="12.75" hidden="1">
      <c r="A133" s="200"/>
      <c r="B133" s="207"/>
      <c r="C133" s="170" t="s">
        <v>462</v>
      </c>
      <c r="D133" s="227" t="s">
        <v>355</v>
      </c>
    </row>
    <row r="134" spans="1:4" ht="12.75" hidden="1">
      <c r="A134" s="200"/>
      <c r="B134" s="207"/>
      <c r="C134" s="196" t="s">
        <v>463</v>
      </c>
      <c r="D134" s="227" t="s">
        <v>355</v>
      </c>
    </row>
    <row r="135" spans="1:4" ht="12.75" hidden="1">
      <c r="A135" s="200"/>
      <c r="B135" s="207"/>
      <c r="C135" s="170" t="s">
        <v>464</v>
      </c>
      <c r="D135" s="227" t="s">
        <v>355</v>
      </c>
    </row>
    <row r="136" spans="1:4" ht="12.75" hidden="1">
      <c r="A136" s="200"/>
      <c r="B136" s="207"/>
      <c r="C136" s="197" t="s">
        <v>465</v>
      </c>
      <c r="D136" s="227" t="s">
        <v>355</v>
      </c>
    </row>
    <row r="137" spans="1:4" ht="12.75" hidden="1">
      <c r="A137" s="200"/>
      <c r="B137" s="207"/>
      <c r="C137" s="197" t="s">
        <v>466</v>
      </c>
      <c r="D137" s="227" t="s">
        <v>355</v>
      </c>
    </row>
    <row r="138" spans="1:4" ht="12.75" hidden="1">
      <c r="A138" s="200"/>
      <c r="B138" s="207"/>
      <c r="C138" s="197" t="s">
        <v>467</v>
      </c>
      <c r="D138" s="227" t="s">
        <v>355</v>
      </c>
    </row>
    <row r="139" spans="1:4" ht="12.75" hidden="1">
      <c r="A139" s="200"/>
      <c r="B139" s="207"/>
      <c r="C139" s="197" t="s">
        <v>468</v>
      </c>
      <c r="D139" s="227" t="s">
        <v>355</v>
      </c>
    </row>
    <row r="140" spans="1:4" ht="12.75" hidden="1">
      <c r="A140" s="200"/>
      <c r="B140" s="207"/>
      <c r="C140" s="197" t="s">
        <v>469</v>
      </c>
      <c r="D140" s="227" t="s">
        <v>355</v>
      </c>
    </row>
    <row r="141" spans="1:4" ht="12.75" hidden="1">
      <c r="A141" s="200"/>
      <c r="B141" s="207"/>
      <c r="C141" s="197" t="s">
        <v>470</v>
      </c>
      <c r="D141" s="227" t="s">
        <v>355</v>
      </c>
    </row>
    <row r="142" spans="1:4" ht="12.75" hidden="1">
      <c r="A142" s="200"/>
      <c r="B142" s="207"/>
      <c r="C142" s="197" t="s">
        <v>471</v>
      </c>
      <c r="D142" s="227" t="s">
        <v>355</v>
      </c>
    </row>
    <row r="143" spans="1:4" ht="12.75" hidden="1">
      <c r="A143" s="200"/>
      <c r="B143" s="201" t="s">
        <v>302</v>
      </c>
      <c r="C143" s="197"/>
      <c r="D143" s="227" t="s">
        <v>355</v>
      </c>
    </row>
    <row r="144" spans="1:4" ht="12.75" hidden="1">
      <c r="A144" s="200"/>
      <c r="B144" s="207"/>
      <c r="C144" s="197" t="s">
        <v>472</v>
      </c>
      <c r="D144" s="227" t="s">
        <v>355</v>
      </c>
    </row>
    <row r="145" spans="1:4" ht="12.75" hidden="1">
      <c r="A145" s="200"/>
      <c r="B145" s="207"/>
      <c r="C145" s="197" t="s">
        <v>473</v>
      </c>
      <c r="D145" s="227" t="s">
        <v>355</v>
      </c>
    </row>
    <row r="146" spans="1:4" ht="12.75" hidden="1">
      <c r="A146" s="200"/>
      <c r="B146" s="207"/>
      <c r="C146" s="197" t="s">
        <v>474</v>
      </c>
      <c r="D146" s="227" t="s">
        <v>355</v>
      </c>
    </row>
    <row r="147" spans="1:4" ht="12.75" hidden="1">
      <c r="A147" s="200"/>
      <c r="B147" s="207"/>
      <c r="C147" s="197" t="s">
        <v>475</v>
      </c>
      <c r="D147" s="227" t="s">
        <v>355</v>
      </c>
    </row>
    <row r="148" spans="1:4" ht="12.75" hidden="1">
      <c r="A148" s="200"/>
      <c r="B148" s="207"/>
      <c r="C148" s="197" t="s">
        <v>476</v>
      </c>
      <c r="D148" s="227" t="s">
        <v>355</v>
      </c>
    </row>
    <row r="149" spans="1:4" ht="12.75" hidden="1">
      <c r="A149" s="200"/>
      <c r="B149" s="201" t="s">
        <v>477</v>
      </c>
      <c r="C149" s="197"/>
      <c r="D149" s="227" t="s">
        <v>355</v>
      </c>
    </row>
    <row r="150" spans="1:4" ht="12.75" hidden="1">
      <c r="A150" s="200"/>
      <c r="B150" s="201"/>
      <c r="C150" s="197" t="s">
        <v>478</v>
      </c>
      <c r="D150" s="227" t="s">
        <v>355</v>
      </c>
    </row>
    <row r="151" spans="1:4" ht="12.75" hidden="1">
      <c r="A151" s="200"/>
      <c r="B151" s="201"/>
      <c r="C151" s="197" t="s">
        <v>479</v>
      </c>
      <c r="D151" s="227" t="s">
        <v>355</v>
      </c>
    </row>
    <row r="152" spans="1:4" ht="12.75" hidden="1">
      <c r="A152" s="200"/>
      <c r="B152" s="201"/>
      <c r="C152" s="197" t="s">
        <v>480</v>
      </c>
      <c r="D152" s="227" t="s">
        <v>355</v>
      </c>
    </row>
    <row r="153" spans="1:4" ht="12.75" hidden="1">
      <c r="A153" s="200"/>
      <c r="B153" s="201"/>
      <c r="C153" s="197" t="s">
        <v>385</v>
      </c>
      <c r="D153" s="227" t="s">
        <v>355</v>
      </c>
    </row>
    <row r="154" spans="1:4" ht="12.75" hidden="1">
      <c r="A154" s="200"/>
      <c r="B154" s="201"/>
      <c r="C154" s="197" t="s">
        <v>481</v>
      </c>
      <c r="D154" s="227" t="s">
        <v>355</v>
      </c>
    </row>
    <row r="155" spans="1:4" ht="12.75" hidden="1">
      <c r="A155" s="200"/>
      <c r="B155" s="201" t="s">
        <v>482</v>
      </c>
      <c r="C155" s="197"/>
      <c r="D155" s="227" t="s">
        <v>355</v>
      </c>
    </row>
    <row r="156" spans="1:4" ht="12.75" hidden="1">
      <c r="A156" s="200"/>
      <c r="B156" s="201"/>
      <c r="C156" s="197" t="s">
        <v>483</v>
      </c>
      <c r="D156" s="227" t="s">
        <v>355</v>
      </c>
    </row>
    <row r="157" spans="1:4" ht="12.75" hidden="1">
      <c r="A157" s="200"/>
      <c r="B157" s="201"/>
      <c r="C157" s="197" t="s">
        <v>484</v>
      </c>
      <c r="D157" s="227" t="s">
        <v>355</v>
      </c>
    </row>
    <row r="158" spans="1:4" ht="12.75" hidden="1">
      <c r="A158" s="200"/>
      <c r="B158" s="201" t="s">
        <v>485</v>
      </c>
      <c r="C158" s="197"/>
      <c r="D158" s="227" t="s">
        <v>355</v>
      </c>
    </row>
    <row r="159" spans="1:4" ht="12.75" hidden="1">
      <c r="A159" s="200"/>
      <c r="B159" s="197"/>
      <c r="C159" s="197" t="s">
        <v>486</v>
      </c>
      <c r="D159" s="227" t="s">
        <v>355</v>
      </c>
    </row>
    <row r="160" spans="1:4" ht="12.75" hidden="1">
      <c r="A160" s="200"/>
      <c r="B160" s="197"/>
      <c r="C160" s="197" t="s">
        <v>487</v>
      </c>
      <c r="D160" s="227" t="s">
        <v>355</v>
      </c>
    </row>
    <row r="161" spans="1:4" ht="12.75" hidden="1">
      <c r="A161" s="200"/>
      <c r="B161" s="197"/>
      <c r="C161" s="197"/>
      <c r="D161" s="227"/>
    </row>
    <row r="162" spans="1:4" ht="12.75" hidden="1">
      <c r="A162" s="200"/>
      <c r="B162" s="208" t="s">
        <v>371</v>
      </c>
      <c r="C162" s="201"/>
      <c r="D162" s="223" t="s">
        <v>355</v>
      </c>
    </row>
    <row r="163" spans="1:4" ht="12.75" hidden="1">
      <c r="A163" s="209" t="s">
        <v>99</v>
      </c>
      <c r="B163" s="194"/>
      <c r="C163" s="194"/>
      <c r="D163" s="229">
        <f>SUM(D127:D162)</f>
        <v>0</v>
      </c>
    </row>
    <row r="164" spans="1:4" ht="12.75" hidden="1">
      <c r="A164" s="209"/>
      <c r="B164" s="194"/>
      <c r="C164" s="194"/>
      <c r="D164" s="227"/>
    </row>
    <row r="165" spans="1:4" ht="12.75">
      <c r="A165" s="198" t="s">
        <v>488</v>
      </c>
      <c r="B165" s="194"/>
      <c r="C165" s="194"/>
      <c r="D165" s="223">
        <f>+D118-D163</f>
        <v>0</v>
      </c>
    </row>
    <row r="166" spans="1:4" ht="12.75">
      <c r="A166" s="198"/>
      <c r="B166" s="194"/>
      <c r="C166" s="194"/>
      <c r="D166" s="227"/>
    </row>
    <row r="167" spans="1:4" ht="12.75" hidden="1">
      <c r="A167" s="194" t="s">
        <v>489</v>
      </c>
      <c r="B167" s="194"/>
      <c r="C167" s="194"/>
      <c r="D167" s="227">
        <v>0</v>
      </c>
    </row>
    <row r="168" spans="1:4" ht="12.75" hidden="1">
      <c r="A168" s="194"/>
      <c r="B168" s="194"/>
      <c r="C168" s="194"/>
      <c r="D168" s="227"/>
    </row>
    <row r="169" spans="1:4" ht="12.75" hidden="1">
      <c r="A169" s="195" t="s">
        <v>366</v>
      </c>
      <c r="B169" s="194"/>
      <c r="C169" s="194"/>
      <c r="D169" s="227"/>
    </row>
    <row r="170" spans="1:4" ht="12.75" hidden="1">
      <c r="A170" s="197"/>
      <c r="B170" s="201" t="s">
        <v>490</v>
      </c>
      <c r="C170" s="197"/>
      <c r="D170" s="227" t="s">
        <v>355</v>
      </c>
    </row>
    <row r="171" spans="1:4" ht="12.75" hidden="1">
      <c r="A171" s="197"/>
      <c r="B171" s="201"/>
      <c r="C171" s="197" t="s">
        <v>491</v>
      </c>
      <c r="D171" s="227" t="s">
        <v>355</v>
      </c>
    </row>
    <row r="172" spans="1:4" ht="12.75" hidden="1">
      <c r="A172" s="197"/>
      <c r="B172" s="201"/>
      <c r="C172" s="197" t="s">
        <v>492</v>
      </c>
      <c r="D172" s="227" t="s">
        <v>355</v>
      </c>
    </row>
    <row r="173" spans="1:4" ht="12.75" hidden="1">
      <c r="A173" s="200"/>
      <c r="B173" s="201" t="s">
        <v>493</v>
      </c>
      <c r="C173" s="197"/>
      <c r="D173" s="227" t="s">
        <v>355</v>
      </c>
    </row>
    <row r="174" spans="1:4" ht="12.75" hidden="1">
      <c r="A174" s="200"/>
      <c r="B174" s="197"/>
      <c r="C174" s="197" t="s">
        <v>494</v>
      </c>
      <c r="D174" s="227" t="s">
        <v>355</v>
      </c>
    </row>
    <row r="175" spans="1:4" ht="12.75" hidden="1">
      <c r="A175" s="200"/>
      <c r="B175" s="197"/>
      <c r="C175" s="197" t="s">
        <v>495</v>
      </c>
      <c r="D175" s="227" t="s">
        <v>355</v>
      </c>
    </row>
    <row r="176" spans="1:4" ht="12.75" hidden="1">
      <c r="A176" s="200"/>
      <c r="B176" s="197"/>
      <c r="C176" s="197" t="s">
        <v>496</v>
      </c>
      <c r="D176" s="227" t="s">
        <v>355</v>
      </c>
    </row>
    <row r="177" spans="1:4" ht="12.75" hidden="1">
      <c r="A177" s="200"/>
      <c r="B177" s="208" t="s">
        <v>371</v>
      </c>
      <c r="C177" s="201"/>
      <c r="D177" s="223" t="s">
        <v>355</v>
      </c>
    </row>
    <row r="178" spans="1:4" ht="12.75" hidden="1">
      <c r="A178" s="209" t="s">
        <v>97</v>
      </c>
      <c r="B178" s="194"/>
      <c r="C178" s="194"/>
      <c r="D178" s="229" t="s">
        <v>355</v>
      </c>
    </row>
    <row r="179" spans="1:4" ht="12.75" hidden="1">
      <c r="A179" s="209"/>
      <c r="B179" s="194"/>
      <c r="C179" s="194"/>
      <c r="D179" s="222"/>
    </row>
    <row r="180" spans="1:4" ht="12.75" hidden="1">
      <c r="A180" s="195" t="s">
        <v>372</v>
      </c>
      <c r="B180" s="194"/>
      <c r="C180" s="194"/>
      <c r="D180" s="227"/>
    </row>
    <row r="181" spans="1:4" ht="12.75" hidden="1">
      <c r="A181" s="200"/>
      <c r="B181" s="201" t="s">
        <v>497</v>
      </c>
      <c r="C181" s="197"/>
      <c r="D181" s="227" t="s">
        <v>355</v>
      </c>
    </row>
    <row r="182" spans="1:4" ht="12.75" hidden="1">
      <c r="A182" s="200"/>
      <c r="B182" s="201"/>
      <c r="C182" s="197" t="s">
        <v>498</v>
      </c>
      <c r="D182" s="227" t="s">
        <v>355</v>
      </c>
    </row>
    <row r="183" spans="1:4" ht="12.75" hidden="1">
      <c r="A183" s="200"/>
      <c r="B183" s="207"/>
      <c r="C183" s="197" t="s">
        <v>499</v>
      </c>
      <c r="D183" s="227" t="s">
        <v>355</v>
      </c>
    </row>
    <row r="184" spans="1:4" ht="12.75" hidden="1">
      <c r="A184" s="200"/>
      <c r="B184" s="207"/>
      <c r="C184" s="197" t="s">
        <v>500</v>
      </c>
      <c r="D184" s="227" t="s">
        <v>355</v>
      </c>
    </row>
    <row r="185" spans="1:4" ht="12.75" hidden="1">
      <c r="A185" s="200"/>
      <c r="B185" s="207"/>
      <c r="C185" s="197" t="s">
        <v>501</v>
      </c>
      <c r="D185" s="227" t="s">
        <v>355</v>
      </c>
    </row>
    <row r="186" spans="1:4" ht="12.75" hidden="1">
      <c r="A186" s="200"/>
      <c r="B186" s="207"/>
      <c r="C186" s="197" t="s">
        <v>502</v>
      </c>
      <c r="D186" s="227" t="s">
        <v>355</v>
      </c>
    </row>
    <row r="187" spans="1:4" ht="12.75" hidden="1">
      <c r="A187" s="203"/>
      <c r="B187" s="206" t="s">
        <v>503</v>
      </c>
      <c r="C187" s="202"/>
      <c r="D187" s="228" t="s">
        <v>355</v>
      </c>
    </row>
    <row r="188" spans="1:4" ht="12.75" hidden="1">
      <c r="A188" s="200"/>
      <c r="B188" s="201"/>
      <c r="C188" s="197" t="s">
        <v>504</v>
      </c>
      <c r="D188" s="227" t="s">
        <v>355</v>
      </c>
    </row>
    <row r="189" spans="1:4" ht="12.75" hidden="1">
      <c r="A189" s="200"/>
      <c r="B189" s="201"/>
      <c r="C189" s="197" t="s">
        <v>505</v>
      </c>
      <c r="D189" s="227" t="s">
        <v>355</v>
      </c>
    </row>
    <row r="190" spans="1:4" ht="12.75" hidden="1">
      <c r="A190" s="200"/>
      <c r="B190" s="201" t="s">
        <v>506</v>
      </c>
      <c r="C190" s="197"/>
      <c r="D190" s="227" t="s">
        <v>355</v>
      </c>
    </row>
    <row r="191" spans="1:4" ht="12.75" hidden="1">
      <c r="A191" s="200"/>
      <c r="B191" s="208" t="s">
        <v>371</v>
      </c>
      <c r="C191" s="201"/>
      <c r="D191" s="223" t="s">
        <v>355</v>
      </c>
    </row>
    <row r="192" spans="1:4" ht="12.75" hidden="1">
      <c r="A192" s="209" t="s">
        <v>99</v>
      </c>
      <c r="B192" s="194"/>
      <c r="C192" s="194"/>
      <c r="D192" s="229" t="s">
        <v>355</v>
      </c>
    </row>
    <row r="193" spans="1:4" ht="12.75" hidden="1">
      <c r="A193" s="209"/>
      <c r="B193" s="194"/>
      <c r="C193" s="194"/>
      <c r="D193" s="222"/>
    </row>
    <row r="194" spans="1:4" ht="12.75">
      <c r="A194" s="198" t="s">
        <v>507</v>
      </c>
      <c r="B194" s="194"/>
      <c r="C194" s="194"/>
      <c r="D194" s="223">
        <f>+D167</f>
        <v>0</v>
      </c>
    </row>
    <row r="195" spans="1:4" ht="12.75">
      <c r="A195" s="198"/>
      <c r="B195" s="194"/>
      <c r="C195" s="194"/>
      <c r="D195" s="227"/>
    </row>
    <row r="196" spans="1:4" ht="12.75">
      <c r="A196" s="194" t="s">
        <v>508</v>
      </c>
      <c r="B196" s="194"/>
      <c r="C196" s="194"/>
      <c r="D196" s="223">
        <f>+D21-D93</f>
        <v>49200</v>
      </c>
    </row>
    <row r="197" spans="1:4" ht="12.75">
      <c r="A197" s="194"/>
      <c r="B197" s="194"/>
      <c r="C197" s="194"/>
      <c r="D197" s="227"/>
    </row>
    <row r="198" spans="1:4" ht="12.75" hidden="1">
      <c r="A198" s="199" t="s">
        <v>509</v>
      </c>
      <c r="B198" s="194"/>
      <c r="C198" s="194"/>
      <c r="D198" s="227" t="s">
        <v>355</v>
      </c>
    </row>
    <row r="199" spans="1:4" ht="12.75" hidden="1">
      <c r="A199" s="199"/>
      <c r="B199" s="194"/>
      <c r="C199" s="194"/>
      <c r="D199" s="227"/>
    </row>
    <row r="200" spans="1:4" ht="12.75">
      <c r="A200" s="194" t="s">
        <v>718</v>
      </c>
      <c r="B200" s="194"/>
      <c r="C200" s="194"/>
      <c r="D200" s="223">
        <v>13613846.48</v>
      </c>
    </row>
    <row r="201" spans="1:4" ht="12.75">
      <c r="A201" s="197"/>
      <c r="B201" s="197"/>
      <c r="C201" s="197"/>
      <c r="D201" s="227"/>
    </row>
    <row r="202" spans="1:8" ht="13.5" thickBot="1">
      <c r="A202" s="194" t="s">
        <v>717</v>
      </c>
      <c r="B202" s="194"/>
      <c r="C202" s="194"/>
      <c r="D202" s="224">
        <f>+D196+D200</f>
        <v>13663046.48</v>
      </c>
      <c r="E202" s="77">
        <f>'DetSFP 2nd Qtr'!F9</f>
        <v>12997516.209999993</v>
      </c>
      <c r="H202" s="89"/>
    </row>
    <row r="203" ht="13.5" thickTop="1">
      <c r="D203" s="89">
        <f>'DetSFP 1st Qtr'!F9-D202</f>
        <v>-742321.4100000076</v>
      </c>
    </row>
    <row r="206" spans="1:6" ht="12.75">
      <c r="A206" s="16" t="s">
        <v>25</v>
      </c>
      <c r="C206" s="1"/>
      <c r="D206" s="1" t="s">
        <v>55</v>
      </c>
      <c r="F206" s="1"/>
    </row>
    <row r="207" spans="1:6" ht="12.75">
      <c r="A207" s="16"/>
      <c r="C207" s="99"/>
      <c r="D207" s="99"/>
      <c r="F207" s="1"/>
    </row>
    <row r="208" spans="1:6" ht="12.75">
      <c r="A208" s="16"/>
      <c r="C208" s="100"/>
      <c r="D208" s="100"/>
      <c r="F208" s="1"/>
    </row>
    <row r="209" spans="1:6" ht="12.75">
      <c r="A209" s="17" t="s">
        <v>222</v>
      </c>
      <c r="C209" s="20"/>
      <c r="D209" s="20" t="s">
        <v>223</v>
      </c>
      <c r="F209" s="1"/>
    </row>
    <row r="210" spans="1:6" ht="12.75">
      <c r="A210" s="16" t="s">
        <v>26</v>
      </c>
      <c r="C210" s="1"/>
      <c r="D210" s="1" t="s">
        <v>224</v>
      </c>
      <c r="F210" s="1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4" width="14.57421875" style="30" customWidth="1"/>
    <col min="5" max="6" width="13.57421875" style="30" customWidth="1"/>
    <col min="7" max="7" width="11.00390625" style="30" customWidth="1"/>
    <col min="8" max="8" width="11.28125" style="30" customWidth="1"/>
    <col min="9" max="9" width="11.57421875" style="30" customWidth="1"/>
    <col min="10" max="10" width="11.00390625" style="30" customWidth="1"/>
    <col min="11" max="11" width="11.7109375" style="30" customWidth="1"/>
    <col min="12" max="12" width="12.0039062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3:16" ht="12.75">
      <c r="C1" s="103"/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757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545" t="s">
        <v>5</v>
      </c>
      <c r="B10" s="477" t="s">
        <v>4</v>
      </c>
      <c r="C10" s="538" t="s">
        <v>758</v>
      </c>
      <c r="D10" s="539"/>
      <c r="E10" s="537" t="s">
        <v>49</v>
      </c>
      <c r="F10" s="537"/>
      <c r="G10" s="538" t="s">
        <v>54</v>
      </c>
      <c r="H10" s="539"/>
      <c r="I10" s="537" t="s">
        <v>48</v>
      </c>
      <c r="J10" s="537"/>
      <c r="K10" s="538" t="s">
        <v>57</v>
      </c>
      <c r="L10" s="539"/>
      <c r="M10" s="538" t="s">
        <v>50</v>
      </c>
      <c r="N10" s="537"/>
      <c r="O10" s="543" t="s">
        <v>7</v>
      </c>
      <c r="P10" s="541" t="s">
        <v>8</v>
      </c>
    </row>
    <row r="11" spans="1:16" ht="16.5" thickBot="1">
      <c r="A11" s="546"/>
      <c r="B11" s="266" t="s">
        <v>6</v>
      </c>
      <c r="C11" s="105" t="s">
        <v>7</v>
      </c>
      <c r="D11" s="106" t="s">
        <v>8</v>
      </c>
      <c r="E11" s="118" t="s">
        <v>7</v>
      </c>
      <c r="F11" s="117" t="s">
        <v>8</v>
      </c>
      <c r="G11" s="105" t="s">
        <v>7</v>
      </c>
      <c r="H11" s="106" t="s">
        <v>8</v>
      </c>
      <c r="I11" s="118" t="s">
        <v>7</v>
      </c>
      <c r="J11" s="117" t="s">
        <v>8</v>
      </c>
      <c r="K11" s="105" t="s">
        <v>7</v>
      </c>
      <c r="L11" s="106" t="s">
        <v>8</v>
      </c>
      <c r="M11" s="105" t="s">
        <v>7</v>
      </c>
      <c r="N11" s="117" t="s">
        <v>8</v>
      </c>
      <c r="O11" s="544"/>
      <c r="P11" s="542"/>
    </row>
    <row r="12" spans="1:16" ht="13.5" customHeight="1">
      <c r="A12" s="469"/>
      <c r="B12" s="477"/>
      <c r="C12" s="469"/>
      <c r="D12" s="70"/>
      <c r="E12" s="111"/>
      <c r="F12" s="35"/>
      <c r="G12" s="469"/>
      <c r="H12" s="70"/>
      <c r="I12" s="111"/>
      <c r="J12" s="35"/>
      <c r="K12" s="469"/>
      <c r="L12" s="70"/>
      <c r="M12" s="469"/>
      <c r="N12" s="35"/>
      <c r="O12" s="267"/>
      <c r="P12" s="116"/>
    </row>
    <row r="13" spans="1:16" ht="12.75" customHeight="1">
      <c r="A13" s="4" t="s">
        <v>9</v>
      </c>
      <c r="B13" s="261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20"/>
      <c r="P13" s="115"/>
    </row>
    <row r="14" spans="1:16" ht="12.75">
      <c r="A14" s="102" t="s">
        <v>678</v>
      </c>
      <c r="B14" s="262" t="s">
        <v>679</v>
      </c>
      <c r="C14" s="107">
        <f>Mar20!O14</f>
        <v>0</v>
      </c>
      <c r="D14" s="10">
        <f>Mar20!P14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21">
        <f>C14+E14+I14+M14-D14-F14-J14-N14+G14-H14+K14-L14</f>
        <v>0</v>
      </c>
      <c r="P14" s="22"/>
    </row>
    <row r="15" spans="1:16" ht="12.75">
      <c r="A15" s="49" t="s">
        <v>101</v>
      </c>
      <c r="B15" s="262" t="s">
        <v>100</v>
      </c>
      <c r="C15" s="107">
        <f>Mar20!O15</f>
        <v>35000</v>
      </c>
      <c r="D15" s="10">
        <f>Mar20!P15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21">
        <f aca="true" t="shared" si="0" ref="O15:O91">C15+E15+I15+M15-D15-F15-J15-N15+G15-H15+K15-L15</f>
        <v>35000</v>
      </c>
      <c r="P15" s="22"/>
    </row>
    <row r="16" spans="1:16" s="29" customFormat="1" ht="12.75">
      <c r="A16" s="49" t="s">
        <v>589</v>
      </c>
      <c r="B16" s="262" t="s">
        <v>230</v>
      </c>
      <c r="C16" s="107">
        <f>Mar20!O16</f>
        <v>333912.42</v>
      </c>
      <c r="D16" s="10">
        <f>Mar20!P16</f>
        <v>0</v>
      </c>
      <c r="E16" s="6"/>
      <c r="F16" s="47"/>
      <c r="G16" s="13"/>
      <c r="H16" s="46"/>
      <c r="I16" s="6"/>
      <c r="J16" s="47"/>
      <c r="K16" s="13"/>
      <c r="L16" s="46"/>
      <c r="M16" s="13"/>
      <c r="N16" s="323"/>
      <c r="O16" s="121">
        <f t="shared" si="0"/>
        <v>333912.42</v>
      </c>
      <c r="P16" s="22"/>
    </row>
    <row r="17" spans="1:16" s="29" customFormat="1" ht="12.75">
      <c r="A17" s="49" t="s">
        <v>636</v>
      </c>
      <c r="B17" s="262" t="s">
        <v>590</v>
      </c>
      <c r="C17" s="107">
        <f>Mar20!O17</f>
        <v>0</v>
      </c>
      <c r="D17" s="10">
        <f>Mar20!P17</f>
        <v>0</v>
      </c>
      <c r="E17" s="9"/>
      <c r="F17" s="11"/>
      <c r="G17" s="14"/>
      <c r="H17" s="46"/>
      <c r="I17" s="9"/>
      <c r="J17" s="47"/>
      <c r="K17" s="14"/>
      <c r="L17" s="46"/>
      <c r="M17" s="14"/>
      <c r="N17" s="51"/>
      <c r="O17" s="121">
        <f t="shared" si="0"/>
        <v>0</v>
      </c>
      <c r="P17" s="22"/>
    </row>
    <row r="18" spans="1:16" s="29" customFormat="1" ht="12.75">
      <c r="A18" s="49" t="s">
        <v>103</v>
      </c>
      <c r="B18" s="262" t="s">
        <v>102</v>
      </c>
      <c r="C18" s="107">
        <f>Mar20!O18</f>
        <v>34199.99999999255</v>
      </c>
      <c r="D18" s="10">
        <f>Mar20!P18</f>
        <v>0</v>
      </c>
      <c r="E18" s="9"/>
      <c r="F18" s="51">
        <v>3743935.66</v>
      </c>
      <c r="G18" s="14"/>
      <c r="H18" s="46"/>
      <c r="I18" s="9"/>
      <c r="J18" s="51"/>
      <c r="K18" s="14"/>
      <c r="L18" s="51"/>
      <c r="M18" s="14">
        <v>31854250</v>
      </c>
      <c r="N18" s="51"/>
      <c r="O18" s="121">
        <f t="shared" si="0"/>
        <v>28144514.339999992</v>
      </c>
      <c r="P18" s="22"/>
    </row>
    <row r="19" spans="1:16" s="29" customFormat="1" ht="12.75">
      <c r="A19" s="49" t="s">
        <v>10</v>
      </c>
      <c r="B19" s="262" t="s">
        <v>104</v>
      </c>
      <c r="C19" s="107">
        <f>Mar20!O19</f>
        <v>12517612.65</v>
      </c>
      <c r="D19" s="10">
        <f>Mar20!P19</f>
        <v>0</v>
      </c>
      <c r="E19" s="9"/>
      <c r="F19" s="51"/>
      <c r="G19" s="14"/>
      <c r="H19" s="46"/>
      <c r="I19" s="9"/>
      <c r="J19" s="51"/>
      <c r="K19" s="14"/>
      <c r="L19" s="14"/>
      <c r="M19" s="14"/>
      <c r="N19" s="51"/>
      <c r="O19" s="121">
        <f t="shared" si="0"/>
        <v>12517612.65</v>
      </c>
      <c r="P19" s="22"/>
    </row>
    <row r="20" spans="1:16" s="29" customFormat="1" ht="12.75">
      <c r="A20" s="49" t="s">
        <v>567</v>
      </c>
      <c r="B20" s="262" t="s">
        <v>568</v>
      </c>
      <c r="C20" s="107">
        <f>Mar20!O20</f>
        <v>21915058.29</v>
      </c>
      <c r="D20" s="10">
        <f>Mar20!P20</f>
        <v>0</v>
      </c>
      <c r="E20" s="9"/>
      <c r="F20" s="51"/>
      <c r="G20" s="14"/>
      <c r="H20" s="46"/>
      <c r="I20" s="9"/>
      <c r="J20" s="51"/>
      <c r="K20" s="14"/>
      <c r="L20" s="10"/>
      <c r="M20" s="14"/>
      <c r="N20" s="51"/>
      <c r="O20" s="121">
        <f t="shared" si="0"/>
        <v>21915058.29</v>
      </c>
      <c r="P20" s="22"/>
    </row>
    <row r="21" spans="1:16" s="29" customFormat="1" ht="12.75">
      <c r="A21" s="49" t="s">
        <v>225</v>
      </c>
      <c r="B21" s="263" t="s">
        <v>226</v>
      </c>
      <c r="C21" s="107">
        <f>Mar20!O21</f>
        <v>497000</v>
      </c>
      <c r="D21" s="10">
        <f>Mar20!P21</f>
        <v>0</v>
      </c>
      <c r="E21" s="9"/>
      <c r="F21" s="51"/>
      <c r="G21" s="14"/>
      <c r="H21" s="46"/>
      <c r="I21" s="9"/>
      <c r="J21" s="51"/>
      <c r="K21" s="14"/>
      <c r="L21" s="10"/>
      <c r="M21" s="14"/>
      <c r="N21" s="51"/>
      <c r="O21" s="121">
        <f t="shared" si="0"/>
        <v>497000</v>
      </c>
      <c r="P21" s="22"/>
    </row>
    <row r="22" spans="1:16" s="29" customFormat="1" ht="12.75">
      <c r="A22" s="49" t="s">
        <v>11</v>
      </c>
      <c r="B22" s="262" t="s">
        <v>105</v>
      </c>
      <c r="C22" s="107">
        <f>Mar20!O22</f>
        <v>46662.22</v>
      </c>
      <c r="D22" s="10">
        <f>Mar20!P22</f>
        <v>0</v>
      </c>
      <c r="E22" s="9"/>
      <c r="F22" s="52"/>
      <c r="G22" s="14"/>
      <c r="H22" s="53"/>
      <c r="I22" s="9"/>
      <c r="J22" s="52"/>
      <c r="K22" s="14"/>
      <c r="L22" s="53"/>
      <c r="M22" s="14"/>
      <c r="N22" s="52"/>
      <c r="O22" s="121">
        <f t="shared" si="0"/>
        <v>46662.22</v>
      </c>
      <c r="P22" s="122"/>
    </row>
    <row r="23" spans="1:16" s="29" customFormat="1" ht="12.75">
      <c r="A23" s="74" t="s">
        <v>108</v>
      </c>
      <c r="B23" s="264" t="s">
        <v>106</v>
      </c>
      <c r="C23" s="107">
        <f>Mar20!O23</f>
        <v>0</v>
      </c>
      <c r="D23" s="10">
        <f>Mar20!P23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121">
        <f t="shared" si="0"/>
        <v>0</v>
      </c>
      <c r="P23" s="122"/>
    </row>
    <row r="24" spans="1:16" s="29" customFormat="1" ht="12.75" customHeight="1">
      <c r="A24" s="49" t="s">
        <v>109</v>
      </c>
      <c r="B24" s="262" t="s">
        <v>107</v>
      </c>
      <c r="C24" s="107">
        <f>Mar20!O24</f>
        <v>0</v>
      </c>
      <c r="D24" s="10">
        <f>Mar20!P24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21">
        <f t="shared" si="0"/>
        <v>0</v>
      </c>
      <c r="P24" s="122"/>
    </row>
    <row r="25" spans="1:16" s="29" customFormat="1" ht="12.75" customHeight="1">
      <c r="A25" s="49" t="s">
        <v>239</v>
      </c>
      <c r="B25" s="263" t="s">
        <v>240</v>
      </c>
      <c r="C25" s="107">
        <f>Mar20!O25</f>
        <v>0</v>
      </c>
      <c r="D25" s="10">
        <f>Mar20!P25</f>
        <v>0</v>
      </c>
      <c r="E25" s="9"/>
      <c r="F25" s="52"/>
      <c r="G25" s="14"/>
      <c r="H25" s="53"/>
      <c r="I25" s="9"/>
      <c r="J25" s="52"/>
      <c r="K25" s="14"/>
      <c r="L25" s="53"/>
      <c r="M25" s="14"/>
      <c r="N25" s="52"/>
      <c r="O25" s="121">
        <f t="shared" si="0"/>
        <v>0</v>
      </c>
      <c r="P25" s="122"/>
    </row>
    <row r="26" spans="1:16" s="29" customFormat="1" ht="12.75" customHeight="1">
      <c r="A26" s="49" t="s">
        <v>238</v>
      </c>
      <c r="B26" s="263" t="s">
        <v>231</v>
      </c>
      <c r="C26" s="107">
        <f>Mar20!O26</f>
        <v>0</v>
      </c>
      <c r="D26" s="10">
        <f>Mar20!P26</f>
        <v>0</v>
      </c>
      <c r="E26" s="9"/>
      <c r="F26" s="52"/>
      <c r="G26" s="14"/>
      <c r="H26" s="53"/>
      <c r="I26" s="9"/>
      <c r="J26" s="52"/>
      <c r="K26" s="14"/>
      <c r="L26" s="53"/>
      <c r="M26" s="14"/>
      <c r="N26" s="52"/>
      <c r="O26" s="121">
        <f t="shared" si="0"/>
        <v>0</v>
      </c>
      <c r="P26" s="122"/>
    </row>
    <row r="27" spans="1:16" s="29" customFormat="1" ht="12.75">
      <c r="A27" s="49" t="s">
        <v>534</v>
      </c>
      <c r="B27" s="263" t="s">
        <v>526</v>
      </c>
      <c r="C27" s="107">
        <f>Mar20!O27</f>
        <v>0</v>
      </c>
      <c r="D27" s="10">
        <f>Mar20!P27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21">
        <f t="shared" si="0"/>
        <v>0</v>
      </c>
      <c r="P27" s="122"/>
    </row>
    <row r="28" spans="1:16" s="29" customFormat="1" ht="12.75">
      <c r="A28" s="49" t="s">
        <v>529</v>
      </c>
      <c r="B28" s="263" t="s">
        <v>520</v>
      </c>
      <c r="C28" s="107">
        <f>Mar20!O28</f>
        <v>0</v>
      </c>
      <c r="D28" s="10">
        <f>Mar20!P28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21">
        <f t="shared" si="0"/>
        <v>0</v>
      </c>
      <c r="P28" s="122"/>
    </row>
    <row r="29" spans="1:16" s="29" customFormat="1" ht="12.75">
      <c r="A29" s="49" t="s">
        <v>213</v>
      </c>
      <c r="B29" s="262" t="s">
        <v>209</v>
      </c>
      <c r="C29" s="107">
        <f>Mar20!O29</f>
        <v>3060</v>
      </c>
      <c r="D29" s="10">
        <f>Mar20!P29</f>
        <v>0</v>
      </c>
      <c r="E29" s="9">
        <v>11454.55</v>
      </c>
      <c r="F29" s="52"/>
      <c r="G29" s="14"/>
      <c r="H29" s="98"/>
      <c r="I29" s="9"/>
      <c r="J29" s="52"/>
      <c r="K29" s="14"/>
      <c r="L29" s="53"/>
      <c r="M29" s="14"/>
      <c r="N29" s="52">
        <v>11454.55</v>
      </c>
      <c r="O29" s="121">
        <f t="shared" si="0"/>
        <v>3060</v>
      </c>
      <c r="P29" s="122"/>
    </row>
    <row r="30" spans="1:16" s="29" customFormat="1" ht="12.75">
      <c r="A30" s="49" t="s">
        <v>201</v>
      </c>
      <c r="B30" s="262" t="s">
        <v>200</v>
      </c>
      <c r="C30" s="107">
        <f>Mar20!O30</f>
        <v>0</v>
      </c>
      <c r="D30" s="10">
        <f>Mar20!P30</f>
        <v>0</v>
      </c>
      <c r="E30" s="9"/>
      <c r="F30" s="52"/>
      <c r="G30" s="14"/>
      <c r="H30" s="98"/>
      <c r="I30" s="9"/>
      <c r="J30" s="52"/>
      <c r="K30" s="14"/>
      <c r="L30" s="53"/>
      <c r="M30" s="14"/>
      <c r="N30" s="52"/>
      <c r="O30" s="121">
        <f t="shared" si="0"/>
        <v>0</v>
      </c>
      <c r="P30" s="122"/>
    </row>
    <row r="31" spans="1:16" s="29" customFormat="1" ht="12.75">
      <c r="A31" s="49" t="s">
        <v>202</v>
      </c>
      <c r="B31" s="262" t="s">
        <v>203</v>
      </c>
      <c r="C31" s="107">
        <f>Mar20!O31</f>
        <v>0</v>
      </c>
      <c r="D31" s="10">
        <f>Mar20!P31</f>
        <v>0</v>
      </c>
      <c r="E31" s="9"/>
      <c r="F31" s="52"/>
      <c r="G31" s="14"/>
      <c r="H31" s="53"/>
      <c r="I31" s="9"/>
      <c r="J31" s="52"/>
      <c r="K31" s="14"/>
      <c r="L31" s="53"/>
      <c r="M31" s="14"/>
      <c r="N31" s="52"/>
      <c r="O31" s="121">
        <f t="shared" si="0"/>
        <v>0</v>
      </c>
      <c r="P31" s="122"/>
    </row>
    <row r="32" spans="1:16" s="29" customFormat="1" ht="12.75">
      <c r="A32" s="49" t="s">
        <v>727</v>
      </c>
      <c r="B32" s="262" t="s">
        <v>728</v>
      </c>
      <c r="C32" s="107">
        <f>Mar20!O32</f>
        <v>15472460.32</v>
      </c>
      <c r="D32" s="10">
        <f>Mar20!P32</f>
        <v>0</v>
      </c>
      <c r="E32" s="9"/>
      <c r="F32" s="52"/>
      <c r="G32" s="14"/>
      <c r="H32" s="53"/>
      <c r="I32" s="9"/>
      <c r="J32" s="52"/>
      <c r="K32" s="14"/>
      <c r="L32" s="53"/>
      <c r="M32" s="14"/>
      <c r="N32" s="52"/>
      <c r="O32" s="121">
        <f t="shared" si="0"/>
        <v>15472460.32</v>
      </c>
      <c r="P32" s="122"/>
    </row>
    <row r="33" spans="1:16" s="29" customFormat="1" ht="12.75">
      <c r="A33" s="49" t="s">
        <v>12</v>
      </c>
      <c r="B33" s="262" t="s">
        <v>111</v>
      </c>
      <c r="C33" s="107">
        <f>Mar20!O33</f>
        <v>1208049.99</v>
      </c>
      <c r="D33" s="10">
        <f>Mar20!P33</f>
        <v>0</v>
      </c>
      <c r="E33" s="9"/>
      <c r="F33" s="52"/>
      <c r="G33" s="14"/>
      <c r="H33" s="53"/>
      <c r="I33" s="9"/>
      <c r="J33" s="52"/>
      <c r="K33" s="14"/>
      <c r="L33" s="53"/>
      <c r="M33" s="14"/>
      <c r="N33" s="52"/>
      <c r="O33" s="121">
        <f t="shared" si="0"/>
        <v>1208049.99</v>
      </c>
      <c r="P33" s="122">
        <f>D33+F33+J33+N33+H33-E33-G33-I33-M33+L33-K33</f>
        <v>0</v>
      </c>
    </row>
    <row r="34" spans="1:16" s="29" customFormat="1" ht="12.75">
      <c r="A34" s="49" t="s">
        <v>120</v>
      </c>
      <c r="B34" s="262" t="s">
        <v>112</v>
      </c>
      <c r="C34" s="107">
        <f>Mar20!O34</f>
        <v>0</v>
      </c>
      <c r="D34" s="10">
        <f>Mar20!P34</f>
        <v>364327.7</v>
      </c>
      <c r="E34" s="9"/>
      <c r="F34" s="52"/>
      <c r="G34" s="14"/>
      <c r="H34" s="53"/>
      <c r="I34" s="9"/>
      <c r="J34" s="52"/>
      <c r="K34" s="14"/>
      <c r="L34" s="53"/>
      <c r="M34" s="14"/>
      <c r="N34" s="52"/>
      <c r="O34" s="121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262" t="s">
        <v>113</v>
      </c>
      <c r="C35" s="107">
        <f>Mar20!O35</f>
        <v>718378</v>
      </c>
      <c r="D35" s="10">
        <f>Mar20!P35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52"/>
      <c r="O35" s="121">
        <f t="shared" si="0"/>
        <v>718378</v>
      </c>
      <c r="P35" s="122">
        <f>D35+F35+J35+N35+H35-E35-G35-I35-M35+L35-K35</f>
        <v>0</v>
      </c>
    </row>
    <row r="36" spans="1:16" s="29" customFormat="1" ht="12.75" customHeight="1">
      <c r="A36" s="49" t="s">
        <v>115</v>
      </c>
      <c r="B36" s="262" t="s">
        <v>121</v>
      </c>
      <c r="C36" s="107">
        <f>Mar20!O36</f>
        <v>0</v>
      </c>
      <c r="D36" s="10">
        <f>Mar20!P36</f>
        <v>422310.89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21"/>
      <c r="P36" s="122">
        <f>D36+F36+J36+N36+H36-E36-G36-I36-M36+L36-K36</f>
        <v>422310.89</v>
      </c>
    </row>
    <row r="37" spans="1:16" s="29" customFormat="1" ht="12.75" customHeight="1">
      <c r="A37" s="49" t="s">
        <v>780</v>
      </c>
      <c r="B37" s="262" t="s">
        <v>778</v>
      </c>
      <c r="C37" s="107">
        <f>Mar20!O37</f>
        <v>0</v>
      </c>
      <c r="D37" s="10">
        <f>Mar20!P37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121">
        <f t="shared" si="0"/>
        <v>0</v>
      </c>
      <c r="P37" s="122"/>
    </row>
    <row r="38" spans="1:16" s="29" customFormat="1" ht="12.75" customHeight="1">
      <c r="A38" s="49" t="s">
        <v>781</v>
      </c>
      <c r="B38" s="262" t="s">
        <v>779</v>
      </c>
      <c r="C38" s="107">
        <f>Mar20!O38</f>
        <v>0</v>
      </c>
      <c r="D38" s="10">
        <f>Mar20!P38</f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121"/>
      <c r="P38" s="122">
        <f>D38+F38+J38+N38+H38-E38-G38-I38-M38+L38-K38</f>
        <v>0</v>
      </c>
    </row>
    <row r="39" spans="1:16" s="29" customFormat="1" ht="12.75" customHeight="1">
      <c r="A39" s="49" t="s">
        <v>782</v>
      </c>
      <c r="B39" s="262" t="s">
        <v>783</v>
      </c>
      <c r="C39" s="107">
        <f>Mar20!O39</f>
        <v>0</v>
      </c>
      <c r="D39" s="10">
        <f>Mar20!P39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21">
        <f t="shared" si="0"/>
        <v>0</v>
      </c>
      <c r="P39" s="122"/>
    </row>
    <row r="40" spans="1:16" s="29" customFormat="1" ht="12.75">
      <c r="A40" s="49" t="s">
        <v>784</v>
      </c>
      <c r="B40" s="262" t="s">
        <v>785</v>
      </c>
      <c r="C40" s="107">
        <f>Mar20!O40</f>
        <v>0</v>
      </c>
      <c r="D40" s="10">
        <f>Mar20!P40</f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21"/>
      <c r="P40" s="122">
        <f>D40+F40+J40+N40+H40-E40-G40-I40-M40+L40-K40</f>
        <v>0</v>
      </c>
    </row>
    <row r="41" spans="1:16" s="29" customFormat="1" ht="12.75">
      <c r="A41" s="49" t="s">
        <v>786</v>
      </c>
      <c r="B41" s="262" t="s">
        <v>788</v>
      </c>
      <c r="C41" s="107"/>
      <c r="D41" s="10"/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121"/>
      <c r="P41" s="122"/>
    </row>
    <row r="42" spans="1:16" s="29" customFormat="1" ht="12.75">
      <c r="A42" s="49" t="s">
        <v>787</v>
      </c>
      <c r="B42" s="262" t="s">
        <v>789</v>
      </c>
      <c r="C42" s="107"/>
      <c r="D42" s="10"/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21"/>
      <c r="P42" s="122"/>
    </row>
    <row r="43" spans="1:16" s="29" customFormat="1" ht="13.5" customHeight="1">
      <c r="A43" s="49" t="s">
        <v>530</v>
      </c>
      <c r="B43" s="262" t="s">
        <v>533</v>
      </c>
      <c r="C43" s="107">
        <f>Mar20!O43</f>
        <v>40622</v>
      </c>
      <c r="D43" s="10">
        <f>Mar20!P43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21">
        <f t="shared" si="0"/>
        <v>40622</v>
      </c>
      <c r="P43" s="122"/>
    </row>
    <row r="44" spans="1:16" s="29" customFormat="1" ht="12.75">
      <c r="A44" s="49" t="s">
        <v>531</v>
      </c>
      <c r="B44" s="262" t="s">
        <v>532</v>
      </c>
      <c r="C44" s="107">
        <f>Mar20!O44</f>
        <v>0</v>
      </c>
      <c r="D44" s="10">
        <f>Mar20!P44</f>
        <v>9647.73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21"/>
      <c r="P44" s="122">
        <f>D44+F44+J44+N44+H44-E44-G44-I44-M44+L44-K44</f>
        <v>9647.73</v>
      </c>
    </row>
    <row r="45" spans="1:16" s="29" customFormat="1" ht="12.75">
      <c r="A45" s="49" t="s">
        <v>128</v>
      </c>
      <c r="B45" s="262" t="s">
        <v>130</v>
      </c>
      <c r="C45" s="107">
        <f>Mar20!O45</f>
        <v>545970</v>
      </c>
      <c r="D45" s="10">
        <f>Mar20!P45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121">
        <f t="shared" si="0"/>
        <v>545970</v>
      </c>
      <c r="P45" s="122"/>
    </row>
    <row r="46" spans="1:16" s="29" customFormat="1" ht="12.75" customHeight="1">
      <c r="A46" s="49" t="s">
        <v>129</v>
      </c>
      <c r="B46" s="262" t="s">
        <v>131</v>
      </c>
      <c r="C46" s="107">
        <f>Mar20!O46</f>
        <v>0</v>
      </c>
      <c r="D46" s="10">
        <f>Mar20!P46</f>
        <v>370243.56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121"/>
      <c r="P46" s="122">
        <f>D46+F46+J46+N46+H46-E46-G46-I46-M46+L46-K46</f>
        <v>370243.56</v>
      </c>
    </row>
    <row r="47" spans="1:16" s="29" customFormat="1" ht="12.75" customHeight="1">
      <c r="A47" s="49" t="s">
        <v>41</v>
      </c>
      <c r="B47" s="262" t="s">
        <v>126</v>
      </c>
      <c r="C47" s="107">
        <f>Mar20!O47</f>
        <v>2391000</v>
      </c>
      <c r="D47" s="10">
        <f>Mar20!P47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21">
        <f t="shared" si="0"/>
        <v>2391000</v>
      </c>
      <c r="P47" s="122"/>
    </row>
    <row r="48" spans="1:16" s="29" customFormat="1" ht="12.75">
      <c r="A48" s="49" t="s">
        <v>42</v>
      </c>
      <c r="B48" s="262" t="s">
        <v>127</v>
      </c>
      <c r="C48" s="107">
        <f>Mar20!O48</f>
        <v>0</v>
      </c>
      <c r="D48" s="10">
        <f>Mar20!P48</f>
        <v>854100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21"/>
      <c r="P48" s="122">
        <f>D48+F48+J48+N48+H48-E48-G48-I48-M48+L48-K48</f>
        <v>854100</v>
      </c>
    </row>
    <row r="49" spans="1:16" s="29" customFormat="1" ht="12.75">
      <c r="A49" s="49" t="s">
        <v>13</v>
      </c>
      <c r="B49" s="262" t="s">
        <v>118</v>
      </c>
      <c r="C49" s="107">
        <f>Mar20!O49</f>
        <v>631727.2</v>
      </c>
      <c r="D49" s="10">
        <f>Mar20!P49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121">
        <f t="shared" si="0"/>
        <v>631727.2</v>
      </c>
      <c r="P49" s="122"/>
    </row>
    <row r="50" spans="1:16" s="29" customFormat="1" ht="12.75" customHeight="1">
      <c r="A50" s="49" t="s">
        <v>14</v>
      </c>
      <c r="B50" s="262" t="s">
        <v>119</v>
      </c>
      <c r="C50" s="107">
        <f>Mar20!O50</f>
        <v>0</v>
      </c>
      <c r="D50" s="10">
        <f>Mar20!P50</f>
        <v>319092.84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21"/>
      <c r="P50" s="122">
        <f>D50+F50+J50+N50+H50-E50-G50-I50-M50+L50-K50</f>
        <v>319092.84</v>
      </c>
    </row>
    <row r="51" spans="1:16" s="29" customFormat="1" ht="12.75">
      <c r="A51" s="49" t="s">
        <v>680</v>
      </c>
      <c r="B51" s="262" t="s">
        <v>681</v>
      </c>
      <c r="C51" s="107">
        <f>Mar20!O51</f>
        <v>0</v>
      </c>
      <c r="D51" s="10">
        <f>Mar20!P51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21">
        <f t="shared" si="0"/>
        <v>0</v>
      </c>
      <c r="P51" s="122"/>
    </row>
    <row r="52" spans="1:16" s="29" customFormat="1" ht="12.75">
      <c r="A52" s="49" t="s">
        <v>683</v>
      </c>
      <c r="B52" s="262" t="s">
        <v>682</v>
      </c>
      <c r="C52" s="107">
        <f>Mar20!O52</f>
        <v>0</v>
      </c>
      <c r="D52" s="10">
        <f>Mar20!P52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21"/>
      <c r="P52" s="122">
        <f>D52+F52+J52+N52+H52-E52-G52-I52-M52+L52-K52</f>
        <v>0</v>
      </c>
    </row>
    <row r="53" spans="1:17" s="29" customFormat="1" ht="12.75">
      <c r="A53" s="49" t="s">
        <v>559</v>
      </c>
      <c r="B53" s="262" t="s">
        <v>558</v>
      </c>
      <c r="C53" s="107">
        <f>Mar20!O53</f>
        <v>40426250</v>
      </c>
      <c r="D53" s="10">
        <f>Mar20!P53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21">
        <f t="shared" si="0"/>
        <v>40426250</v>
      </c>
      <c r="P53" s="122"/>
      <c r="Q53" s="55"/>
    </row>
    <row r="54" spans="1:17" s="29" customFormat="1" ht="12.75" customHeight="1">
      <c r="A54" s="54" t="s">
        <v>15</v>
      </c>
      <c r="B54" s="262" t="s">
        <v>132</v>
      </c>
      <c r="C54" s="107">
        <f>Mar20!O54</f>
        <v>327763.39</v>
      </c>
      <c r="D54" s="10">
        <f>Mar20!P54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121">
        <f t="shared" si="0"/>
        <v>327763.39</v>
      </c>
      <c r="P54" s="122"/>
      <c r="Q54" s="55"/>
    </row>
    <row r="55" spans="1:17" s="29" customFormat="1" ht="12.75" customHeight="1">
      <c r="A55" s="8"/>
      <c r="B55" s="249"/>
      <c r="C55" s="107">
        <f>Mar20!O55</f>
        <v>0</v>
      </c>
      <c r="D55" s="10">
        <f>Mar20!P55</f>
        <v>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21"/>
      <c r="P55" s="122"/>
      <c r="Q55" s="55"/>
    </row>
    <row r="56" spans="1:16" s="29" customFormat="1" ht="12.75">
      <c r="A56" s="7" t="s">
        <v>16</v>
      </c>
      <c r="B56" s="249"/>
      <c r="C56" s="107">
        <f>Mar20!O56</f>
        <v>0</v>
      </c>
      <c r="D56" s="10">
        <f>Mar20!P56</f>
        <v>0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21"/>
      <c r="P56" s="122"/>
    </row>
    <row r="57" spans="1:16" s="29" customFormat="1" ht="12.75">
      <c r="A57" s="49" t="s">
        <v>31</v>
      </c>
      <c r="B57" s="262" t="s">
        <v>133</v>
      </c>
      <c r="C57" s="107">
        <f>Mar20!O57</f>
        <v>0</v>
      </c>
      <c r="D57" s="10">
        <f>Mar20!P57</f>
        <v>35250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121"/>
      <c r="P57" s="122">
        <f aca="true" t="shared" si="1" ref="P57:P66">D57+F57+J57+N57+H57-E57-G57-I57-M57+L57-K57</f>
        <v>35250</v>
      </c>
    </row>
    <row r="58" spans="1:17" s="29" customFormat="1" ht="12.75">
      <c r="A58" s="49" t="s">
        <v>46</v>
      </c>
      <c r="B58" s="262" t="s">
        <v>134</v>
      </c>
      <c r="C58" s="107">
        <f>Mar20!O58</f>
        <v>0</v>
      </c>
      <c r="D58" s="10">
        <f>Mar20!P58</f>
        <v>201883.59000000003</v>
      </c>
      <c r="E58" s="9"/>
      <c r="F58" s="52">
        <v>164869.94</v>
      </c>
      <c r="G58" s="14"/>
      <c r="H58" s="12"/>
      <c r="I58" s="9"/>
      <c r="J58" s="52"/>
      <c r="K58" s="14"/>
      <c r="L58" s="12"/>
      <c r="M58" s="14">
        <v>201883.59</v>
      </c>
      <c r="N58" s="52"/>
      <c r="O58" s="121"/>
      <c r="P58" s="122">
        <f t="shared" si="1"/>
        <v>164869.94000000003</v>
      </c>
      <c r="Q58" s="55"/>
    </row>
    <row r="59" spans="1:17" s="29" customFormat="1" ht="12.75">
      <c r="A59" s="74" t="s">
        <v>685</v>
      </c>
      <c r="B59" s="264" t="s">
        <v>684</v>
      </c>
      <c r="C59" s="107">
        <f>Mar20!O59</f>
        <v>0</v>
      </c>
      <c r="D59" s="10">
        <f>Mar20!P59</f>
        <v>606404.4900000001</v>
      </c>
      <c r="E59" s="9"/>
      <c r="F59" s="52">
        <v>97212.06</v>
      </c>
      <c r="G59" s="14"/>
      <c r="H59" s="12"/>
      <c r="I59" s="9"/>
      <c r="J59" s="52"/>
      <c r="K59" s="14"/>
      <c r="L59" s="12"/>
      <c r="M59" s="14"/>
      <c r="N59" s="52"/>
      <c r="O59" s="121"/>
      <c r="P59" s="122">
        <f t="shared" si="1"/>
        <v>703616.55</v>
      </c>
      <c r="Q59" s="55"/>
    </row>
    <row r="60" spans="1:17" s="29" customFormat="1" ht="12.75">
      <c r="A60" s="74" t="s">
        <v>686</v>
      </c>
      <c r="B60" s="264" t="s">
        <v>688</v>
      </c>
      <c r="C60" s="107">
        <f>Mar20!O60</f>
        <v>0</v>
      </c>
      <c r="D60" s="10">
        <f>Mar20!P60</f>
        <v>106583</v>
      </c>
      <c r="E60" s="9">
        <v>192269.48</v>
      </c>
      <c r="F60" s="52">
        <v>96134.74</v>
      </c>
      <c r="G60" s="14"/>
      <c r="H60" s="12"/>
      <c r="I60" s="9"/>
      <c r="J60" s="52"/>
      <c r="K60" s="14"/>
      <c r="L60" s="12"/>
      <c r="M60" s="14"/>
      <c r="N60" s="52"/>
      <c r="O60" s="121"/>
      <c r="P60" s="122">
        <f t="shared" si="1"/>
        <v>10448.25999999998</v>
      </c>
      <c r="Q60" s="55"/>
    </row>
    <row r="61" spans="1:17" s="29" customFormat="1" ht="12.75">
      <c r="A61" s="74" t="s">
        <v>687</v>
      </c>
      <c r="B61" s="264" t="s">
        <v>689</v>
      </c>
      <c r="C61" s="107">
        <f>Mar20!O61</f>
        <v>0</v>
      </c>
      <c r="D61" s="10">
        <f>Mar20!P61</f>
        <v>25105.72</v>
      </c>
      <c r="E61" s="9">
        <v>26655.72</v>
      </c>
      <c r="F61" s="52">
        <v>13327.86</v>
      </c>
      <c r="G61" s="14"/>
      <c r="H61" s="12"/>
      <c r="I61" s="9"/>
      <c r="J61" s="52"/>
      <c r="K61" s="14"/>
      <c r="L61" s="12"/>
      <c r="M61" s="14"/>
      <c r="N61" s="52"/>
      <c r="O61" s="121"/>
      <c r="P61" s="122">
        <f t="shared" si="1"/>
        <v>11777.86</v>
      </c>
      <c r="Q61" s="55"/>
    </row>
    <row r="62" spans="1:16" s="29" customFormat="1" ht="12.75">
      <c r="A62" s="49" t="s">
        <v>690</v>
      </c>
      <c r="B62" s="262" t="s">
        <v>692</v>
      </c>
      <c r="C62" s="107">
        <f>Mar20!O62</f>
        <v>0</v>
      </c>
      <c r="D62" s="10">
        <f>Mar20!P62</f>
        <v>8611.039999999999</v>
      </c>
      <c r="E62" s="9"/>
      <c r="F62" s="52">
        <v>2984.68</v>
      </c>
      <c r="G62" s="14"/>
      <c r="H62" s="12"/>
      <c r="I62" s="9"/>
      <c r="J62" s="52"/>
      <c r="K62" s="14"/>
      <c r="L62" s="12"/>
      <c r="M62" s="14"/>
      <c r="N62" s="52"/>
      <c r="O62" s="121"/>
      <c r="P62" s="122">
        <f t="shared" si="1"/>
        <v>11595.72</v>
      </c>
    </row>
    <row r="63" spans="1:16" s="29" customFormat="1" ht="12.75">
      <c r="A63" s="49" t="s">
        <v>691</v>
      </c>
      <c r="B63" s="262" t="s">
        <v>693</v>
      </c>
      <c r="C63" s="107">
        <f>Mar20!O63</f>
        <v>0</v>
      </c>
      <c r="D63" s="10">
        <f>Mar20!P63</f>
        <v>2493</v>
      </c>
      <c r="E63" s="9"/>
      <c r="F63" s="52">
        <v>408.33</v>
      </c>
      <c r="G63" s="14"/>
      <c r="H63" s="12"/>
      <c r="I63" s="9"/>
      <c r="J63" s="52"/>
      <c r="K63" s="14"/>
      <c r="L63" s="12"/>
      <c r="M63" s="14"/>
      <c r="N63" s="52"/>
      <c r="O63" s="121"/>
      <c r="P63" s="122">
        <f t="shared" si="1"/>
        <v>2901.33</v>
      </c>
    </row>
    <row r="64" spans="1:17" s="29" customFormat="1" ht="12.75">
      <c r="A64" s="49" t="s">
        <v>47</v>
      </c>
      <c r="B64" s="262" t="s">
        <v>137</v>
      </c>
      <c r="C64" s="107">
        <f>Mar20!O64</f>
        <v>0</v>
      </c>
      <c r="D64" s="10">
        <f>Mar20!P64</f>
        <v>28358.740000000005</v>
      </c>
      <c r="E64" s="9">
        <v>12643.84</v>
      </c>
      <c r="F64" s="52">
        <v>12356.25</v>
      </c>
      <c r="G64" s="14"/>
      <c r="H64" s="12"/>
      <c r="I64" s="9"/>
      <c r="J64" s="52"/>
      <c r="K64" s="14"/>
      <c r="L64" s="12"/>
      <c r="M64" s="14"/>
      <c r="N64" s="52"/>
      <c r="O64" s="121"/>
      <c r="P64" s="122">
        <f t="shared" si="1"/>
        <v>28071.150000000005</v>
      </c>
      <c r="Q64" s="55"/>
    </row>
    <row r="65" spans="1:16" s="29" customFormat="1" ht="12.75">
      <c r="A65" s="74" t="s">
        <v>59</v>
      </c>
      <c r="B65" s="264" t="s">
        <v>138</v>
      </c>
      <c r="C65" s="107">
        <f>Mar20!O65</f>
        <v>0</v>
      </c>
      <c r="D65" s="10">
        <f>Mar20!P65</f>
        <v>73003.27000000003</v>
      </c>
      <c r="E65" s="9">
        <v>20319.42</v>
      </c>
      <c r="F65" s="52">
        <v>107136.68</v>
      </c>
      <c r="G65" s="14"/>
      <c r="H65" s="12"/>
      <c r="I65" s="9"/>
      <c r="J65" s="52"/>
      <c r="K65" s="14"/>
      <c r="L65" s="12"/>
      <c r="M65" s="14"/>
      <c r="N65" s="52"/>
      <c r="O65" s="121"/>
      <c r="P65" s="122">
        <f t="shared" si="1"/>
        <v>159820.53000000003</v>
      </c>
    </row>
    <row r="66" spans="1:16" s="29" customFormat="1" ht="12.75">
      <c r="A66" s="49" t="s">
        <v>17</v>
      </c>
      <c r="B66" s="262" t="s">
        <v>139</v>
      </c>
      <c r="C66" s="107">
        <f>Mar20!O66</f>
        <v>0</v>
      </c>
      <c r="D66" s="10">
        <f>Mar20!P66</f>
        <v>0</v>
      </c>
      <c r="E66" s="9"/>
      <c r="F66" s="52"/>
      <c r="G66" s="14"/>
      <c r="H66" s="12"/>
      <c r="I66" s="9"/>
      <c r="J66" s="52"/>
      <c r="K66" s="14"/>
      <c r="L66" s="12"/>
      <c r="M66" s="14"/>
      <c r="N66" s="52"/>
      <c r="O66" s="121"/>
      <c r="P66" s="122">
        <f t="shared" si="1"/>
        <v>0</v>
      </c>
    </row>
    <row r="67" spans="1:17" s="29" customFormat="1" ht="12.75">
      <c r="A67" s="8"/>
      <c r="B67" s="249"/>
      <c r="C67" s="107">
        <f>Mar20!O67</f>
        <v>0</v>
      </c>
      <c r="D67" s="10">
        <f>Mar20!P67</f>
        <v>0</v>
      </c>
      <c r="E67" s="9"/>
      <c r="F67" s="52"/>
      <c r="G67" s="14"/>
      <c r="H67" s="12"/>
      <c r="I67" s="9"/>
      <c r="J67" s="52"/>
      <c r="K67" s="14"/>
      <c r="L67" s="12"/>
      <c r="M67" s="14"/>
      <c r="N67" s="52"/>
      <c r="O67" s="121"/>
      <c r="P67" s="122"/>
      <c r="Q67" s="272"/>
    </row>
    <row r="68" spans="1:17" s="29" customFormat="1" ht="12.75">
      <c r="A68" s="7" t="s">
        <v>32</v>
      </c>
      <c r="B68" s="249"/>
      <c r="C68" s="107">
        <f>Mar20!O68</f>
        <v>0</v>
      </c>
      <c r="D68" s="10">
        <f>Mar20!P68</f>
        <v>0</v>
      </c>
      <c r="E68" s="9"/>
      <c r="F68" s="52"/>
      <c r="G68" s="14"/>
      <c r="H68" s="12"/>
      <c r="I68" s="9"/>
      <c r="J68" s="52"/>
      <c r="K68" s="14"/>
      <c r="L68" s="12"/>
      <c r="M68" s="14"/>
      <c r="N68" s="52"/>
      <c r="O68" s="121"/>
      <c r="P68" s="122"/>
      <c r="Q68" s="272"/>
    </row>
    <row r="69" spans="1:17" s="29" customFormat="1" ht="12.75">
      <c r="A69" s="49" t="s">
        <v>18</v>
      </c>
      <c r="B69" s="262" t="s">
        <v>140</v>
      </c>
      <c r="C69" s="107">
        <f>Mar20!O69</f>
        <v>0</v>
      </c>
      <c r="D69" s="10">
        <f>Mar20!P69</f>
        <v>93682852.88</v>
      </c>
      <c r="E69" s="9"/>
      <c r="F69" s="52"/>
      <c r="G69" s="14"/>
      <c r="H69" s="12"/>
      <c r="I69" s="9"/>
      <c r="J69" s="52"/>
      <c r="K69" s="14"/>
      <c r="L69" s="12"/>
      <c r="M69" s="14"/>
      <c r="N69" s="14"/>
      <c r="O69" s="121"/>
      <c r="P69" s="122">
        <f>D69+F69+J69+N69+H69-E69-G69-I69-M69+L69-K69</f>
        <v>93682852.88</v>
      </c>
      <c r="Q69" s="272"/>
    </row>
    <row r="70" spans="1:17" s="29" customFormat="1" ht="12.75">
      <c r="A70" s="49" t="s">
        <v>142</v>
      </c>
      <c r="B70" s="249" t="s">
        <v>141</v>
      </c>
      <c r="C70" s="107">
        <f>Mar20!O70</f>
        <v>0</v>
      </c>
      <c r="D70" s="10">
        <f>Mar20!P70</f>
        <v>30174673.490000002</v>
      </c>
      <c r="E70" s="9"/>
      <c r="F70" s="52"/>
      <c r="G70" s="14"/>
      <c r="H70" s="12"/>
      <c r="I70" s="9"/>
      <c r="J70" s="52"/>
      <c r="K70" s="14"/>
      <c r="L70" s="12"/>
      <c r="M70" s="14"/>
      <c r="N70" s="14">
        <f>31854250+201883.59</f>
        <v>32056133.59</v>
      </c>
      <c r="O70" s="121"/>
      <c r="P70" s="122">
        <f>D70+F70+J70+N70+H70-E70-G70-I70-M70+L70-K70</f>
        <v>62230807.08</v>
      </c>
      <c r="Q70" s="272"/>
    </row>
    <row r="71" spans="1:17" s="29" customFormat="1" ht="12.75">
      <c r="A71" s="49" t="s">
        <v>673</v>
      </c>
      <c r="B71" s="249" t="s">
        <v>745</v>
      </c>
      <c r="C71" s="107">
        <f>Mar20!O71</f>
        <v>0</v>
      </c>
      <c r="D71" s="10">
        <f>Mar20!P71</f>
        <v>20208708.35</v>
      </c>
      <c r="E71" s="9"/>
      <c r="F71" s="52"/>
      <c r="G71" s="14"/>
      <c r="H71" s="12"/>
      <c r="I71" s="9"/>
      <c r="J71" s="52"/>
      <c r="K71" s="14"/>
      <c r="L71" s="12"/>
      <c r="M71" s="14"/>
      <c r="N71" s="9"/>
      <c r="O71" s="121"/>
      <c r="P71" s="122">
        <f>D71+F71+J71+N71+H71-E71-G71-I71-M71+L71-K71</f>
        <v>20208708.35</v>
      </c>
      <c r="Q71" s="527"/>
    </row>
    <row r="72" spans="1:17" s="29" customFormat="1" ht="12.75">
      <c r="A72" s="49"/>
      <c r="B72" s="249"/>
      <c r="C72" s="107">
        <f>Mar20!O72</f>
        <v>0</v>
      </c>
      <c r="D72" s="10">
        <f>Mar20!P72</f>
        <v>0</v>
      </c>
      <c r="E72" s="9"/>
      <c r="F72" s="52"/>
      <c r="G72" s="14"/>
      <c r="H72" s="12"/>
      <c r="I72" s="9"/>
      <c r="J72" s="52"/>
      <c r="K72" s="14"/>
      <c r="L72" s="12"/>
      <c r="M72" s="14"/>
      <c r="N72" s="52"/>
      <c r="O72" s="121"/>
      <c r="P72" s="122"/>
      <c r="Q72" s="272"/>
    </row>
    <row r="73" spans="1:17" s="29" customFormat="1" ht="12.75" customHeight="1">
      <c r="A73" s="4" t="s">
        <v>19</v>
      </c>
      <c r="B73" s="248"/>
      <c r="C73" s="107">
        <f>Mar20!O73</f>
        <v>0</v>
      </c>
      <c r="D73" s="10">
        <f>Mar20!P73</f>
        <v>0</v>
      </c>
      <c r="E73" s="9"/>
      <c r="F73" s="52"/>
      <c r="G73" s="14"/>
      <c r="H73" s="12"/>
      <c r="I73" s="9"/>
      <c r="J73" s="52"/>
      <c r="K73" s="14"/>
      <c r="L73" s="12"/>
      <c r="M73" s="14"/>
      <c r="N73" s="52"/>
      <c r="O73" s="121"/>
      <c r="P73" s="122"/>
      <c r="Q73" s="272"/>
    </row>
    <row r="74" spans="1:17" s="29" customFormat="1" ht="12.75" customHeight="1">
      <c r="A74" s="23" t="s">
        <v>143</v>
      </c>
      <c r="B74" s="265" t="s">
        <v>144</v>
      </c>
      <c r="C74" s="107">
        <f>Mar20!O74</f>
        <v>3664667.12</v>
      </c>
      <c r="D74" s="10">
        <f>Mar20!P74</f>
        <v>0</v>
      </c>
      <c r="E74" s="9">
        <v>1108080.63</v>
      </c>
      <c r="F74" s="52"/>
      <c r="G74" s="14"/>
      <c r="H74" s="12"/>
      <c r="I74" s="9"/>
      <c r="J74" s="52"/>
      <c r="K74" s="14"/>
      <c r="L74" s="12"/>
      <c r="M74" s="52"/>
      <c r="N74" s="52"/>
      <c r="O74" s="121">
        <f t="shared" si="0"/>
        <v>4772747.75</v>
      </c>
      <c r="P74" s="122"/>
      <c r="Q74" s="272"/>
    </row>
    <row r="75" spans="1:17" s="29" customFormat="1" ht="12.75" customHeight="1">
      <c r="A75" s="23" t="s">
        <v>20</v>
      </c>
      <c r="B75" s="265" t="s">
        <v>145</v>
      </c>
      <c r="C75" s="107">
        <f>Mar20!O75</f>
        <v>126000</v>
      </c>
      <c r="D75" s="10">
        <f>Mar20!P75</f>
        <v>0</v>
      </c>
      <c r="E75" s="25">
        <v>40000</v>
      </c>
      <c r="F75" s="26"/>
      <c r="G75" s="27"/>
      <c r="H75" s="28"/>
      <c r="I75" s="25"/>
      <c r="J75" s="26"/>
      <c r="K75" s="27"/>
      <c r="L75" s="28"/>
      <c r="M75" s="27"/>
      <c r="N75" s="26"/>
      <c r="O75" s="121">
        <f t="shared" si="0"/>
        <v>166000</v>
      </c>
      <c r="P75" s="122"/>
      <c r="Q75" s="272"/>
    </row>
    <row r="76" spans="1:17" s="29" customFormat="1" ht="12.75" customHeight="1">
      <c r="A76" s="23" t="s">
        <v>21</v>
      </c>
      <c r="B76" s="265" t="s">
        <v>146</v>
      </c>
      <c r="C76" s="107">
        <f>Mar20!O76</f>
        <v>57000</v>
      </c>
      <c r="D76" s="10">
        <f>Mar20!P76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121">
        <f t="shared" si="0"/>
        <v>76000</v>
      </c>
      <c r="P76" s="62"/>
      <c r="Q76" s="272"/>
    </row>
    <row r="77" spans="1:17" s="29" customFormat="1" ht="12.75" customHeight="1">
      <c r="A77" s="23" t="s">
        <v>22</v>
      </c>
      <c r="B77" s="265" t="s">
        <v>147</v>
      </c>
      <c r="C77" s="107">
        <f>Mar20!O77</f>
        <v>57000</v>
      </c>
      <c r="D77" s="10">
        <f>Mar20!P77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121">
        <f t="shared" si="0"/>
        <v>76000</v>
      </c>
      <c r="P77" s="62"/>
      <c r="Q77" s="272"/>
    </row>
    <row r="78" spans="1:17" s="29" customFormat="1" ht="12.75" customHeight="1">
      <c r="A78" s="23" t="s">
        <v>67</v>
      </c>
      <c r="B78" s="265" t="s">
        <v>527</v>
      </c>
      <c r="C78" s="107">
        <f>Mar20!O78</f>
        <v>0</v>
      </c>
      <c r="D78" s="10">
        <f>Mar20!P78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121">
        <f t="shared" si="0"/>
        <v>0</v>
      </c>
      <c r="P78" s="62"/>
      <c r="Q78" s="272"/>
    </row>
    <row r="79" spans="1:17" s="29" customFormat="1" ht="12.75" customHeight="1" hidden="1">
      <c r="A79" s="23" t="s">
        <v>149</v>
      </c>
      <c r="B79" s="265" t="s">
        <v>148</v>
      </c>
      <c r="C79" s="107">
        <f>Mar20!O79</f>
        <v>0</v>
      </c>
      <c r="D79" s="10">
        <f>Mar20!P79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121">
        <f t="shared" si="0"/>
        <v>0</v>
      </c>
      <c r="P79" s="62"/>
      <c r="Q79" s="272"/>
    </row>
    <row r="80" spans="1:17" s="29" customFormat="1" ht="12.75" customHeight="1" hidden="1">
      <c r="A80" s="23" t="s">
        <v>66</v>
      </c>
      <c r="B80" s="265" t="s">
        <v>150</v>
      </c>
      <c r="C80" s="107">
        <f>Mar20!O80</f>
        <v>0</v>
      </c>
      <c r="D80" s="10">
        <f>Mar20!P80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121">
        <f t="shared" si="0"/>
        <v>0</v>
      </c>
      <c r="P80" s="62"/>
      <c r="Q80" s="272"/>
    </row>
    <row r="81" spans="1:17" s="29" customFormat="1" ht="12.75" customHeight="1" hidden="1">
      <c r="A81" s="23" t="s">
        <v>221</v>
      </c>
      <c r="B81" s="265" t="s">
        <v>537</v>
      </c>
      <c r="C81" s="107">
        <f>Mar20!O81</f>
        <v>0</v>
      </c>
      <c r="D81" s="10">
        <f>Mar20!P81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121">
        <f t="shared" si="0"/>
        <v>0</v>
      </c>
      <c r="P81" s="62"/>
      <c r="Q81" s="272"/>
    </row>
    <row r="82" spans="1:17" s="29" customFormat="1" ht="12.75" customHeight="1" hidden="1">
      <c r="A82" s="23" t="s">
        <v>76</v>
      </c>
      <c r="B82" s="265" t="s">
        <v>153</v>
      </c>
      <c r="C82" s="107">
        <f>Mar20!O82</f>
        <v>0</v>
      </c>
      <c r="D82" s="10">
        <f>Mar20!P82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121">
        <f t="shared" si="0"/>
        <v>0</v>
      </c>
      <c r="P82" s="62"/>
      <c r="Q82" s="272"/>
    </row>
    <row r="83" spans="1:17" s="29" customFormat="1" ht="12.75" hidden="1">
      <c r="A83" s="23" t="s">
        <v>242</v>
      </c>
      <c r="B83" s="265" t="s">
        <v>234</v>
      </c>
      <c r="C83" s="107">
        <f>Mar20!O83</f>
        <v>0</v>
      </c>
      <c r="D83" s="10">
        <f>Mar20!P83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121">
        <f t="shared" si="0"/>
        <v>0</v>
      </c>
      <c r="P83" s="62"/>
      <c r="Q83" s="272"/>
    </row>
    <row r="84" spans="1:17" s="29" customFormat="1" ht="12.75" hidden="1">
      <c r="A84" s="23" t="s">
        <v>75</v>
      </c>
      <c r="B84" s="265" t="s">
        <v>152</v>
      </c>
      <c r="C84" s="107">
        <f>Mar20!O84</f>
        <v>0</v>
      </c>
      <c r="D84" s="10">
        <f>Mar20!P84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121">
        <f t="shared" si="0"/>
        <v>0</v>
      </c>
      <c r="P84" s="62"/>
      <c r="Q84" s="272"/>
    </row>
    <row r="85" spans="1:17" s="29" customFormat="1" ht="12.75" hidden="1">
      <c r="A85" s="23" t="s">
        <v>70</v>
      </c>
      <c r="B85" s="265" t="s">
        <v>151</v>
      </c>
      <c r="C85" s="107">
        <f>Mar20!O85</f>
        <v>0</v>
      </c>
      <c r="D85" s="10">
        <f>Mar20!P85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121">
        <f t="shared" si="0"/>
        <v>0</v>
      </c>
      <c r="P85" s="62"/>
      <c r="Q85" s="272"/>
    </row>
    <row r="86" spans="1:17" s="29" customFormat="1" ht="12.75">
      <c r="A86" s="23" t="s">
        <v>562</v>
      </c>
      <c r="B86" s="265" t="s">
        <v>563</v>
      </c>
      <c r="C86" s="107">
        <f>Mar20!O86</f>
        <v>193000</v>
      </c>
      <c r="D86" s="10">
        <f>Mar20!P86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121">
        <f t="shared" si="0"/>
        <v>193000</v>
      </c>
      <c r="P86" s="62"/>
      <c r="Q86" s="272"/>
    </row>
    <row r="87" spans="1:17" s="29" customFormat="1" ht="12.75" customHeight="1">
      <c r="A87" s="23" t="s">
        <v>564</v>
      </c>
      <c r="B87" s="265" t="s">
        <v>565</v>
      </c>
      <c r="C87" s="107">
        <f>Mar20!O87</f>
        <v>0</v>
      </c>
      <c r="D87" s="10">
        <f>Mar20!P87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121">
        <f t="shared" si="0"/>
        <v>0</v>
      </c>
      <c r="P87" s="62"/>
      <c r="Q87" s="272"/>
    </row>
    <row r="88" spans="1:17" s="29" customFormat="1" ht="12.75" customHeight="1">
      <c r="A88" s="23" t="s">
        <v>553</v>
      </c>
      <c r="B88" s="265" t="s">
        <v>554</v>
      </c>
      <c r="C88" s="107">
        <f>Mar20!O88</f>
        <v>0</v>
      </c>
      <c r="D88" s="10">
        <f>Mar20!P88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121">
        <f t="shared" si="0"/>
        <v>0</v>
      </c>
      <c r="P88" s="62"/>
      <c r="Q88" s="272"/>
    </row>
    <row r="89" spans="1:17" s="29" customFormat="1" ht="12.75">
      <c r="A89" s="23" t="s">
        <v>33</v>
      </c>
      <c r="B89" s="265" t="s">
        <v>154</v>
      </c>
      <c r="C89" s="107">
        <f>Mar20!O89</f>
        <v>229515.6</v>
      </c>
      <c r="D89" s="10">
        <f>Mar20!P89</f>
        <v>0</v>
      </c>
      <c r="E89" s="25"/>
      <c r="F89" s="26"/>
      <c r="G89" s="27"/>
      <c r="H89" s="28"/>
      <c r="I89" s="25"/>
      <c r="J89" s="26"/>
      <c r="K89" s="27"/>
      <c r="L89" s="28"/>
      <c r="M89" s="27"/>
      <c r="N89" s="26"/>
      <c r="O89" s="121">
        <f t="shared" si="0"/>
        <v>229515.6</v>
      </c>
      <c r="P89" s="62"/>
      <c r="Q89" s="272"/>
    </row>
    <row r="90" spans="1:17" s="29" customFormat="1" ht="12.75" customHeight="1">
      <c r="A90" s="23" t="s">
        <v>34</v>
      </c>
      <c r="B90" s="265" t="s">
        <v>155</v>
      </c>
      <c r="C90" s="107">
        <f>Mar20!O90</f>
        <v>6169.36</v>
      </c>
      <c r="D90" s="10">
        <f>Mar20!P90</f>
        <v>0</v>
      </c>
      <c r="E90" s="25"/>
      <c r="F90" s="26"/>
      <c r="G90" s="27"/>
      <c r="H90" s="28"/>
      <c r="I90" s="25"/>
      <c r="J90" s="26"/>
      <c r="K90" s="27"/>
      <c r="L90" s="28"/>
      <c r="M90" s="27"/>
      <c r="N90" s="26"/>
      <c r="O90" s="121">
        <f t="shared" si="0"/>
        <v>6169.36</v>
      </c>
      <c r="P90" s="62"/>
      <c r="Q90" s="272"/>
    </row>
    <row r="91" spans="1:17" s="29" customFormat="1" ht="12.75">
      <c r="A91" s="23" t="s">
        <v>35</v>
      </c>
      <c r="B91" s="265" t="s">
        <v>156</v>
      </c>
      <c r="C91" s="107">
        <f>Mar20!O91</f>
        <v>37931.57</v>
      </c>
      <c r="D91" s="10">
        <f>Mar20!P91</f>
        <v>0</v>
      </c>
      <c r="E91" s="25">
        <v>12643.85</v>
      </c>
      <c r="F91" s="26"/>
      <c r="G91" s="27"/>
      <c r="H91" s="28"/>
      <c r="I91" s="25"/>
      <c r="J91" s="26"/>
      <c r="K91" s="27"/>
      <c r="L91" s="28"/>
      <c r="M91" s="27"/>
      <c r="N91" s="26"/>
      <c r="O91" s="121">
        <f t="shared" si="0"/>
        <v>50575.42</v>
      </c>
      <c r="P91" s="62"/>
      <c r="Q91" s="272"/>
    </row>
    <row r="92" spans="1:17" s="29" customFormat="1" ht="12.75" customHeight="1">
      <c r="A92" s="23" t="s">
        <v>36</v>
      </c>
      <c r="B92" s="265" t="s">
        <v>157</v>
      </c>
      <c r="C92" s="107">
        <f>Mar20!O92</f>
        <v>3800</v>
      </c>
      <c r="D92" s="10">
        <f>Mar20!P92</f>
        <v>0</v>
      </c>
      <c r="E92" s="25"/>
      <c r="F92" s="26"/>
      <c r="G92" s="27"/>
      <c r="H92" s="28"/>
      <c r="I92" s="25"/>
      <c r="J92" s="26"/>
      <c r="K92" s="27"/>
      <c r="L92" s="28"/>
      <c r="M92" s="27"/>
      <c r="N92" s="26"/>
      <c r="O92" s="121">
        <f aca="true" t="shared" si="2" ref="O92:O155">C92+E92+I92+M92-D92-F92-J92-N92+G92-H92+K92-L92</f>
        <v>3800</v>
      </c>
      <c r="P92" s="62"/>
      <c r="Q92" s="272"/>
    </row>
    <row r="93" spans="1:17" s="29" customFormat="1" ht="12.75">
      <c r="A93" s="23" t="s">
        <v>698</v>
      </c>
      <c r="B93" s="265" t="s">
        <v>699</v>
      </c>
      <c r="C93" s="107">
        <f>Mar20!O93</f>
        <v>0</v>
      </c>
      <c r="D93" s="10">
        <f>Mar20!P93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121">
        <f t="shared" si="2"/>
        <v>0</v>
      </c>
      <c r="P93" s="62"/>
      <c r="Q93" s="272"/>
    </row>
    <row r="94" spans="1:17" s="29" customFormat="1" ht="12.75">
      <c r="A94" s="23" t="s">
        <v>208</v>
      </c>
      <c r="B94" s="265" t="s">
        <v>207</v>
      </c>
      <c r="C94" s="107">
        <f>Mar20!O94</f>
        <v>10000</v>
      </c>
      <c r="D94" s="10">
        <f>Mar20!P94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6"/>
      <c r="O94" s="121">
        <f t="shared" si="2"/>
        <v>10000</v>
      </c>
      <c r="P94" s="62"/>
      <c r="Q94" s="272"/>
    </row>
    <row r="95" spans="1:17" s="29" customFormat="1" ht="12.75" customHeight="1">
      <c r="A95" s="23" t="s">
        <v>98</v>
      </c>
      <c r="B95" s="265" t="s">
        <v>555</v>
      </c>
      <c r="C95" s="107">
        <f>Mar20!O95</f>
        <v>755292</v>
      </c>
      <c r="D95" s="10">
        <f>Mar20!P95</f>
        <v>0</v>
      </c>
      <c r="E95" s="25"/>
      <c r="F95" s="26"/>
      <c r="G95" s="27"/>
      <c r="H95" s="28"/>
      <c r="I95" s="25"/>
      <c r="J95" s="26"/>
      <c r="K95" s="27"/>
      <c r="L95" s="28"/>
      <c r="M95" s="27"/>
      <c r="N95" s="26"/>
      <c r="O95" s="121">
        <f t="shared" si="2"/>
        <v>755292</v>
      </c>
      <c r="P95" s="62"/>
      <c r="Q95" s="272"/>
    </row>
    <row r="96" spans="1:17" s="29" customFormat="1" ht="12.75">
      <c r="A96" s="23" t="s">
        <v>28</v>
      </c>
      <c r="B96" s="265" t="s">
        <v>158</v>
      </c>
      <c r="C96" s="107">
        <f>Mar20!O96</f>
        <v>473029.66000000003</v>
      </c>
      <c r="D96" s="10">
        <f>Mar20!P96</f>
        <v>0</v>
      </c>
      <c r="E96" s="25"/>
      <c r="F96" s="26"/>
      <c r="G96" s="27"/>
      <c r="H96" s="28"/>
      <c r="I96" s="25"/>
      <c r="J96" s="26"/>
      <c r="K96" s="27"/>
      <c r="L96" s="28"/>
      <c r="M96" s="27"/>
      <c r="N96" s="26"/>
      <c r="O96" s="121">
        <f t="shared" si="2"/>
        <v>473029.66000000003</v>
      </c>
      <c r="P96" s="62"/>
      <c r="Q96" s="272"/>
    </row>
    <row r="97" spans="1:17" s="29" customFormat="1" ht="12.75" customHeight="1">
      <c r="A97" s="23" t="s">
        <v>243</v>
      </c>
      <c r="B97" s="265" t="s">
        <v>236</v>
      </c>
      <c r="C97" s="107">
        <f>Mar20!O97</f>
        <v>0</v>
      </c>
      <c r="D97" s="10">
        <f>Mar20!P97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121">
        <f t="shared" si="2"/>
        <v>0</v>
      </c>
      <c r="P97" s="62"/>
      <c r="Q97" s="272"/>
    </row>
    <row r="98" spans="1:17" s="29" customFormat="1" ht="12.75" customHeight="1">
      <c r="A98" s="23" t="s">
        <v>27</v>
      </c>
      <c r="B98" s="265" t="s">
        <v>159</v>
      </c>
      <c r="C98" s="107">
        <f>Mar20!O98</f>
        <v>918281.25</v>
      </c>
      <c r="D98" s="10">
        <f>Mar20!P98</f>
        <v>0</v>
      </c>
      <c r="E98" s="25"/>
      <c r="F98" s="26"/>
      <c r="G98" s="27"/>
      <c r="H98" s="28"/>
      <c r="I98" s="25"/>
      <c r="J98" s="26"/>
      <c r="K98" s="27"/>
      <c r="L98" s="28"/>
      <c r="M98" s="27"/>
      <c r="N98" s="26"/>
      <c r="O98" s="121">
        <f t="shared" si="2"/>
        <v>918281.25</v>
      </c>
      <c r="P98" s="62"/>
      <c r="Q98" s="272"/>
    </row>
    <row r="99" spans="1:17" s="29" customFormat="1" ht="12.75" customHeight="1">
      <c r="A99" s="23" t="s">
        <v>160</v>
      </c>
      <c r="B99" s="265" t="s">
        <v>161</v>
      </c>
      <c r="C99" s="107">
        <f>Mar20!O99</f>
        <v>0</v>
      </c>
      <c r="D99" s="10">
        <f>Mar20!P99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121">
        <f t="shared" si="2"/>
        <v>0</v>
      </c>
      <c r="P99" s="62"/>
      <c r="Q99" s="272"/>
    </row>
    <row r="100" spans="1:17" s="29" customFormat="1" ht="12.75" customHeight="1">
      <c r="A100" s="23" t="s">
        <v>61</v>
      </c>
      <c r="B100" s="265" t="s">
        <v>162</v>
      </c>
      <c r="C100" s="107">
        <f>Mar20!O100</f>
        <v>5800.25</v>
      </c>
      <c r="D100" s="10">
        <f>Mar20!P100</f>
        <v>0</v>
      </c>
      <c r="E100" s="25"/>
      <c r="F100" s="26"/>
      <c r="G100" s="27"/>
      <c r="H100" s="28"/>
      <c r="I100" s="25"/>
      <c r="J100" s="26"/>
      <c r="K100" s="27"/>
      <c r="L100" s="28"/>
      <c r="M100" s="27"/>
      <c r="N100" s="26"/>
      <c r="O100" s="121">
        <f t="shared" si="2"/>
        <v>5800.25</v>
      </c>
      <c r="P100" s="62"/>
      <c r="Q100" s="272"/>
    </row>
    <row r="101" spans="1:17" s="29" customFormat="1" ht="12.75" customHeight="1">
      <c r="A101" s="23" t="s">
        <v>56</v>
      </c>
      <c r="B101" s="265" t="s">
        <v>163</v>
      </c>
      <c r="C101" s="107">
        <f>Mar20!O101</f>
        <v>0</v>
      </c>
      <c r="D101" s="10">
        <f>Mar20!P101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121">
        <f t="shared" si="2"/>
        <v>0</v>
      </c>
      <c r="P101" s="62"/>
      <c r="Q101" s="272"/>
    </row>
    <row r="102" spans="1:17" s="29" customFormat="1" ht="12.75">
      <c r="A102" s="23" t="s">
        <v>217</v>
      </c>
      <c r="B102" s="265" t="s">
        <v>218</v>
      </c>
      <c r="C102" s="107">
        <f>Mar20!O102</f>
        <v>0</v>
      </c>
      <c r="D102" s="10">
        <f>Mar20!P102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121">
        <f t="shared" si="2"/>
        <v>0</v>
      </c>
      <c r="P102" s="62"/>
      <c r="Q102" s="272"/>
    </row>
    <row r="103" spans="1:17" s="29" customFormat="1" ht="12.75">
      <c r="A103" s="23" t="s">
        <v>164</v>
      </c>
      <c r="B103" s="265" t="s">
        <v>165</v>
      </c>
      <c r="C103" s="107">
        <f>Mar20!O103</f>
        <v>11025</v>
      </c>
      <c r="D103" s="10">
        <f>Mar20!P103</f>
        <v>0</v>
      </c>
      <c r="E103" s="25"/>
      <c r="F103" s="26"/>
      <c r="G103" s="27"/>
      <c r="H103" s="28"/>
      <c r="I103" s="25"/>
      <c r="J103" s="26"/>
      <c r="K103" s="27"/>
      <c r="L103" s="28"/>
      <c r="M103" s="27"/>
      <c r="N103" s="26"/>
      <c r="O103" s="121">
        <f t="shared" si="2"/>
        <v>11025</v>
      </c>
      <c r="P103" s="62"/>
      <c r="Q103" s="272"/>
    </row>
    <row r="104" spans="1:17" s="29" customFormat="1" ht="12.75">
      <c r="A104" s="23" t="s">
        <v>570</v>
      </c>
      <c r="B104" s="265" t="s">
        <v>556</v>
      </c>
      <c r="C104" s="107">
        <f>Mar20!O104</f>
        <v>0</v>
      </c>
      <c r="D104" s="10">
        <f>Mar20!P104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121">
        <f t="shared" si="2"/>
        <v>0</v>
      </c>
      <c r="P104" s="62"/>
      <c r="Q104" s="272"/>
    </row>
    <row r="105" spans="1:17" s="29" customFormat="1" ht="12.75">
      <c r="A105" s="23" t="s">
        <v>535</v>
      </c>
      <c r="B105" s="265" t="s">
        <v>521</v>
      </c>
      <c r="C105" s="107">
        <f>Mar20!O105</f>
        <v>0</v>
      </c>
      <c r="D105" s="10">
        <f>Mar20!P105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121">
        <f t="shared" si="2"/>
        <v>0</v>
      </c>
      <c r="P105" s="62"/>
      <c r="Q105" s="272"/>
    </row>
    <row r="106" spans="1:17" s="29" customFormat="1" ht="12.75">
      <c r="A106" s="23" t="s">
        <v>536</v>
      </c>
      <c r="B106" s="265" t="s">
        <v>522</v>
      </c>
      <c r="C106" s="107">
        <f>Mar20!O106</f>
        <v>0</v>
      </c>
      <c r="D106" s="10">
        <f>Mar20!P106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121">
        <f t="shared" si="2"/>
        <v>0</v>
      </c>
      <c r="P106" s="62"/>
      <c r="Q106" s="272"/>
    </row>
    <row r="107" spans="1:17" s="29" customFormat="1" ht="12.75">
      <c r="A107" s="23" t="s">
        <v>571</v>
      </c>
      <c r="B107" s="265" t="s">
        <v>572</v>
      </c>
      <c r="C107" s="107">
        <f>Mar20!O107</f>
        <v>0</v>
      </c>
      <c r="D107" s="10">
        <f>Mar20!P107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121">
        <f t="shared" si="2"/>
        <v>0</v>
      </c>
      <c r="P107" s="62"/>
      <c r="Q107" s="272"/>
    </row>
    <row r="108" spans="1:17" s="29" customFormat="1" ht="12.75">
      <c r="A108" s="23" t="s">
        <v>573</v>
      </c>
      <c r="B108" s="265" t="s">
        <v>557</v>
      </c>
      <c r="C108" s="107">
        <f>Mar20!O108</f>
        <v>0</v>
      </c>
      <c r="D108" s="10">
        <f>Mar20!P108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121">
        <f t="shared" si="2"/>
        <v>0</v>
      </c>
      <c r="P108" s="62"/>
      <c r="Q108" s="272"/>
    </row>
    <row r="109" spans="1:17" s="29" customFormat="1" ht="12.75">
      <c r="A109" s="23" t="s">
        <v>241</v>
      </c>
      <c r="B109" s="265" t="s">
        <v>235</v>
      </c>
      <c r="C109" s="107">
        <f>Mar20!O109</f>
        <v>0</v>
      </c>
      <c r="D109" s="10">
        <f>Mar20!P109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121">
        <f t="shared" si="2"/>
        <v>0</v>
      </c>
      <c r="P109" s="62"/>
      <c r="Q109" s="272"/>
    </row>
    <row r="110" spans="1:17" s="29" customFormat="1" ht="12.75">
      <c r="A110" s="23" t="s">
        <v>166</v>
      </c>
      <c r="B110" s="265" t="s">
        <v>167</v>
      </c>
      <c r="C110" s="107">
        <f>Mar20!O110</f>
        <v>0</v>
      </c>
      <c r="D110" s="10">
        <f>Mar20!P110</f>
        <v>0</v>
      </c>
      <c r="E110" s="25"/>
      <c r="F110" s="26"/>
      <c r="G110" s="27"/>
      <c r="H110" s="28"/>
      <c r="I110" s="25"/>
      <c r="J110" s="26"/>
      <c r="K110" s="27"/>
      <c r="L110" s="28"/>
      <c r="M110" s="27"/>
      <c r="N110" s="26"/>
      <c r="O110" s="121">
        <f t="shared" si="2"/>
        <v>0</v>
      </c>
      <c r="P110" s="62"/>
      <c r="Q110" s="272"/>
    </row>
    <row r="111" spans="1:17" s="29" customFormat="1" ht="12.75" customHeight="1">
      <c r="A111" s="23" t="s">
        <v>37</v>
      </c>
      <c r="B111" s="265" t="s">
        <v>168</v>
      </c>
      <c r="C111" s="107">
        <f>Mar20!O111</f>
        <v>2652.2</v>
      </c>
      <c r="D111" s="10">
        <f>Mar20!P111</f>
        <v>0</v>
      </c>
      <c r="E111" s="25"/>
      <c r="F111" s="26"/>
      <c r="G111" s="27"/>
      <c r="H111" s="28"/>
      <c r="I111" s="25"/>
      <c r="J111" s="26"/>
      <c r="K111" s="27"/>
      <c r="L111" s="28"/>
      <c r="M111" s="27"/>
      <c r="N111" s="26"/>
      <c r="O111" s="121">
        <f t="shared" si="2"/>
        <v>2652.2</v>
      </c>
      <c r="P111" s="62"/>
      <c r="Q111" s="272"/>
    </row>
    <row r="112" spans="1:17" s="29" customFormat="1" ht="12.75">
      <c r="A112" s="23" t="s">
        <v>43</v>
      </c>
      <c r="B112" s="265" t="s">
        <v>169</v>
      </c>
      <c r="C112" s="107">
        <f>Mar20!O112</f>
        <v>33271.08</v>
      </c>
      <c r="D112" s="10">
        <f>Mar20!P112</f>
        <v>0</v>
      </c>
      <c r="E112" s="25"/>
      <c r="F112" s="26"/>
      <c r="G112" s="27"/>
      <c r="H112" s="28"/>
      <c r="I112" s="25"/>
      <c r="J112" s="26"/>
      <c r="K112" s="27"/>
      <c r="L112" s="28"/>
      <c r="M112" s="27"/>
      <c r="N112" s="26"/>
      <c r="O112" s="121">
        <f t="shared" si="2"/>
        <v>33271.08</v>
      </c>
      <c r="P112" s="62"/>
      <c r="Q112" s="272"/>
    </row>
    <row r="113" spans="1:17" s="29" customFormat="1" ht="12.75">
      <c r="A113" s="23" t="s">
        <v>694</v>
      </c>
      <c r="B113" s="265" t="s">
        <v>695</v>
      </c>
      <c r="C113" s="107">
        <f>Mar20!O113</f>
        <v>0</v>
      </c>
      <c r="D113" s="10">
        <f>Mar20!P113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121">
        <f t="shared" si="2"/>
        <v>0</v>
      </c>
      <c r="P113" s="62"/>
      <c r="Q113" s="272"/>
    </row>
    <row r="114" spans="1:17" s="29" customFormat="1" ht="12.75" customHeight="1">
      <c r="A114" s="23" t="s">
        <v>29</v>
      </c>
      <c r="B114" s="265" t="s">
        <v>170</v>
      </c>
      <c r="C114" s="107">
        <f>Mar20!O114</f>
        <v>20696.8</v>
      </c>
      <c r="D114" s="10">
        <f>Mar20!P114</f>
        <v>0</v>
      </c>
      <c r="E114" s="25"/>
      <c r="F114" s="26"/>
      <c r="G114" s="27"/>
      <c r="H114" s="28"/>
      <c r="I114" s="25"/>
      <c r="J114" s="26"/>
      <c r="K114" s="27"/>
      <c r="L114" s="28"/>
      <c r="M114" s="27"/>
      <c r="N114" s="26"/>
      <c r="O114" s="121">
        <f t="shared" si="2"/>
        <v>20696.8</v>
      </c>
      <c r="P114" s="62"/>
      <c r="Q114" s="272"/>
    </row>
    <row r="115" spans="1:17" s="29" customFormat="1" ht="12.75" customHeight="1">
      <c r="A115" s="23" t="s">
        <v>194</v>
      </c>
      <c r="B115" s="265" t="s">
        <v>196</v>
      </c>
      <c r="C115" s="107">
        <f>Mar20!O115</f>
        <v>26201.93</v>
      </c>
      <c r="D115" s="10">
        <f>Mar20!P115</f>
        <v>0</v>
      </c>
      <c r="E115" s="25">
        <v>8000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121">
        <f t="shared" si="2"/>
        <v>34201.93</v>
      </c>
      <c r="P115" s="62"/>
      <c r="Q115" s="272"/>
    </row>
    <row r="116" spans="1:17" s="29" customFormat="1" ht="12.75">
      <c r="A116" s="23" t="s">
        <v>195</v>
      </c>
      <c r="B116" s="265" t="s">
        <v>197</v>
      </c>
      <c r="C116" s="107">
        <f>Mar20!O116</f>
        <v>5211.15</v>
      </c>
      <c r="D116" s="10">
        <f>Mar20!P116</f>
        <v>0</v>
      </c>
      <c r="E116" s="25"/>
      <c r="F116" s="26"/>
      <c r="G116" s="27"/>
      <c r="H116" s="28"/>
      <c r="I116" s="25"/>
      <c r="J116" s="26"/>
      <c r="K116" s="27"/>
      <c r="L116" s="28"/>
      <c r="M116" s="27"/>
      <c r="N116" s="26"/>
      <c r="O116" s="121">
        <f t="shared" si="2"/>
        <v>5211.15</v>
      </c>
      <c r="P116" s="62"/>
      <c r="Q116" s="272"/>
    </row>
    <row r="117" spans="1:17" s="29" customFormat="1" ht="12.75" customHeight="1">
      <c r="A117" s="23" t="s">
        <v>171</v>
      </c>
      <c r="B117" s="265" t="s">
        <v>172</v>
      </c>
      <c r="C117" s="107">
        <f>Mar20!O117</f>
        <v>22444.6</v>
      </c>
      <c r="D117" s="10">
        <f>Mar20!P117</f>
        <v>0</v>
      </c>
      <c r="E117" s="25"/>
      <c r="F117" s="26"/>
      <c r="G117" s="27"/>
      <c r="H117" s="28"/>
      <c r="I117" s="25"/>
      <c r="J117" s="26"/>
      <c r="K117" s="27"/>
      <c r="L117" s="28"/>
      <c r="M117" s="27"/>
      <c r="N117" s="26"/>
      <c r="O117" s="121">
        <f t="shared" si="2"/>
        <v>22444.6</v>
      </c>
      <c r="P117" s="62"/>
      <c r="Q117" s="272"/>
    </row>
    <row r="118" spans="1:17" s="29" customFormat="1" ht="12.75">
      <c r="A118" s="23" t="s">
        <v>51</v>
      </c>
      <c r="B118" s="265" t="s">
        <v>173</v>
      </c>
      <c r="C118" s="107">
        <f>Mar20!O118</f>
        <v>300</v>
      </c>
      <c r="D118" s="10">
        <f>Mar20!P118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121">
        <f t="shared" si="2"/>
        <v>300</v>
      </c>
      <c r="P118" s="62"/>
      <c r="Q118" s="272"/>
    </row>
    <row r="119" spans="1:17" s="29" customFormat="1" ht="12.75">
      <c r="A119" s="23" t="s">
        <v>539</v>
      </c>
      <c r="B119" s="265" t="s">
        <v>538</v>
      </c>
      <c r="C119" s="107">
        <f>Mar20!O119</f>
        <v>0</v>
      </c>
      <c r="D119" s="10">
        <f>Mar20!P119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121">
        <f t="shared" si="2"/>
        <v>0</v>
      </c>
      <c r="P119" s="62"/>
      <c r="Q119" s="272"/>
    </row>
    <row r="120" spans="1:17" s="29" customFormat="1" ht="12.75" customHeight="1">
      <c r="A120" s="23" t="s">
        <v>193</v>
      </c>
      <c r="B120" s="265" t="s">
        <v>190</v>
      </c>
      <c r="C120" s="107">
        <f>Mar20!O120</f>
        <v>27500.010000000002</v>
      </c>
      <c r="D120" s="10">
        <f>Mar20!P120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121">
        <f t="shared" si="2"/>
        <v>36666.68</v>
      </c>
      <c r="P120" s="62"/>
      <c r="Q120" s="272"/>
    </row>
    <row r="121" spans="1:17" s="29" customFormat="1" ht="12.75">
      <c r="A121" s="23" t="s">
        <v>71</v>
      </c>
      <c r="B121" s="265" t="s">
        <v>178</v>
      </c>
      <c r="C121" s="107">
        <f>Mar20!O121</f>
        <v>400</v>
      </c>
      <c r="D121" s="10">
        <f>Mar20!P121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121">
        <f t="shared" si="2"/>
        <v>400</v>
      </c>
      <c r="P121" s="62"/>
      <c r="Q121" s="272"/>
    </row>
    <row r="122" spans="1:17" s="29" customFormat="1" ht="12.75" customHeight="1">
      <c r="A122" s="23" t="s">
        <v>30</v>
      </c>
      <c r="B122" s="265" t="s">
        <v>179</v>
      </c>
      <c r="C122" s="107">
        <f>Mar20!O122</f>
        <v>0</v>
      </c>
      <c r="D122" s="10">
        <f>Mar20!P122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121">
        <f t="shared" si="2"/>
        <v>0</v>
      </c>
      <c r="P122" s="62"/>
      <c r="Q122" s="272"/>
    </row>
    <row r="123" spans="1:17" s="29" customFormat="1" ht="12.75">
      <c r="A123" s="23" t="s">
        <v>198</v>
      </c>
      <c r="B123" s="265" t="s">
        <v>199</v>
      </c>
      <c r="C123" s="107">
        <f>Mar20!O123</f>
        <v>0</v>
      </c>
      <c r="D123" s="10">
        <f>Mar20!P123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121">
        <f t="shared" si="2"/>
        <v>0</v>
      </c>
      <c r="P123" s="62"/>
      <c r="Q123" s="272"/>
    </row>
    <row r="124" spans="1:17" s="29" customFormat="1" ht="12.75" customHeight="1">
      <c r="A124" s="23" t="s">
        <v>72</v>
      </c>
      <c r="B124" s="265" t="s">
        <v>182</v>
      </c>
      <c r="C124" s="107">
        <f>Mar20!O124</f>
        <v>192692.65</v>
      </c>
      <c r="D124" s="10">
        <f>Mar20!P124</f>
        <v>0</v>
      </c>
      <c r="E124" s="25">
        <v>37090.6</v>
      </c>
      <c r="F124" s="26"/>
      <c r="G124" s="27"/>
      <c r="H124" s="28"/>
      <c r="I124" s="25"/>
      <c r="J124" s="26"/>
      <c r="K124" s="27"/>
      <c r="L124" s="28"/>
      <c r="M124" s="27">
        <v>11454.55</v>
      </c>
      <c r="N124" s="26"/>
      <c r="O124" s="121">
        <f t="shared" si="2"/>
        <v>241237.8</v>
      </c>
      <c r="P124" s="62"/>
      <c r="Q124" s="272"/>
    </row>
    <row r="125" spans="1:17" s="29" customFormat="1" ht="12.75" customHeight="1">
      <c r="A125" s="23" t="s">
        <v>65</v>
      </c>
      <c r="B125" s="265" t="s">
        <v>183</v>
      </c>
      <c r="C125" s="107">
        <f>Mar20!O125</f>
        <v>0</v>
      </c>
      <c r="D125" s="10">
        <f>Mar20!P125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121">
        <f t="shared" si="2"/>
        <v>0</v>
      </c>
      <c r="P125" s="62"/>
      <c r="Q125" s="272"/>
    </row>
    <row r="126" spans="1:17" s="29" customFormat="1" ht="12.75" customHeight="1">
      <c r="A126" s="23" t="s">
        <v>180</v>
      </c>
      <c r="B126" s="265" t="s">
        <v>181</v>
      </c>
      <c r="C126" s="107">
        <f>Mar20!O126</f>
        <v>0</v>
      </c>
      <c r="D126" s="10">
        <f>Mar20!P126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121">
        <f t="shared" si="2"/>
        <v>0</v>
      </c>
      <c r="P126" s="62"/>
      <c r="Q126" s="272"/>
    </row>
    <row r="127" spans="1:17" s="29" customFormat="1" ht="12.75" customHeight="1">
      <c r="A127" s="23" t="s">
        <v>184</v>
      </c>
      <c r="B127" s="265" t="s">
        <v>185</v>
      </c>
      <c r="C127" s="107">
        <f>Mar20!O127</f>
        <v>0</v>
      </c>
      <c r="D127" s="10">
        <f>Mar20!P127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6"/>
      <c r="O127" s="121">
        <f t="shared" si="2"/>
        <v>0</v>
      </c>
      <c r="P127" s="62"/>
      <c r="Q127" s="272"/>
    </row>
    <row r="128" spans="1:17" s="29" customFormat="1" ht="12.75" customHeight="1">
      <c r="A128" s="23" t="s">
        <v>186</v>
      </c>
      <c r="B128" s="265" t="s">
        <v>204</v>
      </c>
      <c r="C128" s="107">
        <f>Mar20!O128</f>
        <v>0</v>
      </c>
      <c r="D128" s="10">
        <f>Mar20!P128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121">
        <f t="shared" si="2"/>
        <v>0</v>
      </c>
      <c r="P128" s="62"/>
      <c r="Q128" s="272"/>
    </row>
    <row r="129" spans="1:17" s="29" customFormat="1" ht="12.75" customHeight="1">
      <c r="A129" s="23" t="s">
        <v>219</v>
      </c>
      <c r="B129" s="265" t="s">
        <v>205</v>
      </c>
      <c r="C129" s="107">
        <f>Mar20!O129</f>
        <v>4430</v>
      </c>
      <c r="D129" s="10">
        <f>Mar20!P129</f>
        <v>0</v>
      </c>
      <c r="E129" s="25"/>
      <c r="F129" s="26"/>
      <c r="G129" s="27"/>
      <c r="H129" s="28"/>
      <c r="I129" s="25"/>
      <c r="J129" s="26"/>
      <c r="K129" s="27"/>
      <c r="L129" s="28"/>
      <c r="M129" s="27"/>
      <c r="N129" s="26"/>
      <c r="O129" s="121">
        <f t="shared" si="2"/>
        <v>4430</v>
      </c>
      <c r="P129" s="62"/>
      <c r="Q129" s="272"/>
    </row>
    <row r="130" spans="1:17" s="29" customFormat="1" ht="12.75" customHeight="1">
      <c r="A130" s="23" t="s">
        <v>220</v>
      </c>
      <c r="B130" s="265" t="s">
        <v>206</v>
      </c>
      <c r="C130" s="107">
        <f>Mar20!O130</f>
        <v>55510</v>
      </c>
      <c r="D130" s="10">
        <f>Mar20!P130</f>
        <v>0</v>
      </c>
      <c r="E130" s="25"/>
      <c r="F130" s="26"/>
      <c r="G130" s="27"/>
      <c r="H130" s="28"/>
      <c r="I130" s="25"/>
      <c r="J130" s="26"/>
      <c r="K130" s="27"/>
      <c r="L130" s="28"/>
      <c r="M130" s="27"/>
      <c r="N130" s="26"/>
      <c r="O130" s="121">
        <f t="shared" si="2"/>
        <v>55510</v>
      </c>
      <c r="P130" s="62"/>
      <c r="Q130" s="272"/>
    </row>
    <row r="131" spans="1:17" s="29" customFormat="1" ht="12.75" customHeight="1">
      <c r="A131" s="23" t="s">
        <v>584</v>
      </c>
      <c r="B131" s="265" t="s">
        <v>585</v>
      </c>
      <c r="C131" s="107">
        <f>Mar20!O131</f>
        <v>0</v>
      </c>
      <c r="D131" s="10">
        <f>Mar20!P131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121">
        <f t="shared" si="2"/>
        <v>0</v>
      </c>
      <c r="P131" s="62"/>
      <c r="Q131" s="272"/>
    </row>
    <row r="132" spans="1:17" s="29" customFormat="1" ht="12.75">
      <c r="A132" s="23" t="s">
        <v>188</v>
      </c>
      <c r="B132" s="265" t="s">
        <v>189</v>
      </c>
      <c r="C132" s="107">
        <f>Mar20!O132</f>
        <v>0</v>
      </c>
      <c r="D132" s="10">
        <f>Mar20!P132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121">
        <f t="shared" si="2"/>
        <v>0</v>
      </c>
      <c r="P132" s="62"/>
      <c r="Q132" s="272"/>
    </row>
    <row r="133" spans="1:17" s="29" customFormat="1" ht="12.75">
      <c r="A133" s="23" t="s">
        <v>229</v>
      </c>
      <c r="B133" s="265" t="s">
        <v>227</v>
      </c>
      <c r="C133" s="107">
        <f>Mar20!O133</f>
        <v>54640</v>
      </c>
      <c r="D133" s="10">
        <f>Mar20!P133</f>
        <v>0</v>
      </c>
      <c r="E133" s="25"/>
      <c r="F133" s="26"/>
      <c r="G133" s="27"/>
      <c r="H133" s="28"/>
      <c r="I133" s="25"/>
      <c r="J133" s="26"/>
      <c r="K133" s="27"/>
      <c r="L133" s="28"/>
      <c r="M133" s="27"/>
      <c r="N133" s="26"/>
      <c r="O133" s="121">
        <f t="shared" si="2"/>
        <v>54640</v>
      </c>
      <c r="P133" s="62"/>
      <c r="Q133" s="272"/>
    </row>
    <row r="134" spans="1:17" s="29" customFormat="1" ht="12.75">
      <c r="A134" s="23" t="s">
        <v>64</v>
      </c>
      <c r="B134" s="265" t="s">
        <v>187</v>
      </c>
      <c r="C134" s="107">
        <f>Mar20!O134</f>
        <v>0</v>
      </c>
      <c r="D134" s="10">
        <f>Mar20!P134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121">
        <f t="shared" si="2"/>
        <v>0</v>
      </c>
      <c r="P134" s="62"/>
      <c r="Q134" s="272"/>
    </row>
    <row r="135" spans="1:17" s="29" customFormat="1" ht="12.75">
      <c r="A135" s="23" t="s">
        <v>587</v>
      </c>
      <c r="B135" s="265" t="s">
        <v>586</v>
      </c>
      <c r="C135" s="107">
        <f>Mar20!O135</f>
        <v>0</v>
      </c>
      <c r="D135" s="10">
        <f>Mar20!P135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121">
        <f t="shared" si="2"/>
        <v>0</v>
      </c>
      <c r="P135" s="62"/>
      <c r="Q135" s="272"/>
    </row>
    <row r="136" spans="1:17" s="29" customFormat="1" ht="12.75" customHeight="1">
      <c r="A136" s="23" t="s">
        <v>233</v>
      </c>
      <c r="B136" s="265" t="s">
        <v>232</v>
      </c>
      <c r="C136" s="107">
        <f>Mar20!O136</f>
        <v>43004053.66</v>
      </c>
      <c r="D136" s="10">
        <f>Mar20!P136</f>
        <v>0</v>
      </c>
      <c r="E136" s="25">
        <v>2612636.94</v>
      </c>
      <c r="F136" s="26"/>
      <c r="G136" s="27"/>
      <c r="H136" s="28"/>
      <c r="I136" s="25"/>
      <c r="J136" s="26"/>
      <c r="K136" s="27"/>
      <c r="L136" s="28"/>
      <c r="M136" s="27"/>
      <c r="N136" s="26"/>
      <c r="O136" s="121">
        <f t="shared" si="2"/>
        <v>45616690.599999994</v>
      </c>
      <c r="P136" s="62"/>
      <c r="Q136" s="272"/>
    </row>
    <row r="137" spans="1:17" s="29" customFormat="1" ht="12.75" customHeight="1">
      <c r="A137" s="23" t="s">
        <v>69</v>
      </c>
      <c r="B137" s="265" t="s">
        <v>191</v>
      </c>
      <c r="C137" s="107">
        <f>Mar20!O137</f>
        <v>0</v>
      </c>
      <c r="D137" s="10">
        <f>Mar20!P137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121">
        <f t="shared" si="2"/>
        <v>0</v>
      </c>
      <c r="P137" s="62"/>
      <c r="Q137" s="272"/>
    </row>
    <row r="138" spans="1:17" s="29" customFormat="1" ht="12.75" customHeight="1">
      <c r="A138" s="23" t="s">
        <v>211</v>
      </c>
      <c r="B138" s="265" t="s">
        <v>212</v>
      </c>
      <c r="C138" s="107">
        <f>Mar20!O138</f>
        <v>0</v>
      </c>
      <c r="D138" s="10">
        <f>Mar20!P138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121">
        <f t="shared" si="2"/>
        <v>0</v>
      </c>
      <c r="P138" s="62"/>
      <c r="Q138" s="272"/>
    </row>
    <row r="139" spans="1:17" s="29" customFormat="1" ht="12.75" customHeight="1">
      <c r="A139" s="23" t="s">
        <v>540</v>
      </c>
      <c r="B139" s="265" t="s">
        <v>523</v>
      </c>
      <c r="C139" s="107">
        <f>Mar20!O139</f>
        <v>0</v>
      </c>
      <c r="D139" s="10">
        <f>Mar20!P139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121">
        <f t="shared" si="2"/>
        <v>0</v>
      </c>
      <c r="P139" s="62"/>
      <c r="Q139" s="272"/>
    </row>
    <row r="140" spans="1:17" s="29" customFormat="1" ht="12.75">
      <c r="A140" s="23" t="s">
        <v>73</v>
      </c>
      <c r="B140" s="265" t="s">
        <v>192</v>
      </c>
      <c r="C140" s="107">
        <f>Mar20!O140</f>
        <v>87903.04000000001</v>
      </c>
      <c r="D140" s="10">
        <f>Mar20!P140</f>
        <v>0</v>
      </c>
      <c r="E140" s="25"/>
      <c r="F140" s="26"/>
      <c r="G140" s="27"/>
      <c r="H140" s="28"/>
      <c r="I140" s="25"/>
      <c r="J140" s="26"/>
      <c r="K140" s="27"/>
      <c r="L140" s="28"/>
      <c r="M140" s="27"/>
      <c r="N140" s="26"/>
      <c r="O140" s="121">
        <f t="shared" si="2"/>
        <v>87903.04000000001</v>
      </c>
      <c r="P140" s="62"/>
      <c r="Q140" s="272"/>
    </row>
    <row r="141" spans="1:17" s="29" customFormat="1" ht="12.75">
      <c r="A141" s="23" t="s">
        <v>38</v>
      </c>
      <c r="B141" s="265" t="s">
        <v>175</v>
      </c>
      <c r="C141" s="107">
        <f>Mar20!O141</f>
        <v>0</v>
      </c>
      <c r="D141" s="10">
        <f>Mar20!P141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121">
        <f t="shared" si="2"/>
        <v>0</v>
      </c>
      <c r="P141" s="62"/>
      <c r="Q141" s="272"/>
    </row>
    <row r="142" spans="1:17" s="29" customFormat="1" ht="12.75">
      <c r="A142" s="23" t="s">
        <v>62</v>
      </c>
      <c r="B142" s="265" t="s">
        <v>176</v>
      </c>
      <c r="C142" s="107">
        <f>Mar20!O142</f>
        <v>0</v>
      </c>
      <c r="D142" s="10">
        <f>Mar20!P142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121">
        <f t="shared" si="2"/>
        <v>0</v>
      </c>
      <c r="P142" s="62"/>
      <c r="Q142" s="476"/>
    </row>
    <row r="143" spans="1:17" s="29" customFormat="1" ht="12.75">
      <c r="A143" s="23" t="s">
        <v>63</v>
      </c>
      <c r="B143" s="265" t="s">
        <v>177</v>
      </c>
      <c r="C143" s="107">
        <f>Mar20!O143</f>
        <v>1460</v>
      </c>
      <c r="D143" s="10">
        <f>Mar20!P143</f>
        <v>0</v>
      </c>
      <c r="E143" s="25"/>
      <c r="F143" s="26"/>
      <c r="G143" s="27"/>
      <c r="H143" s="28"/>
      <c r="I143" s="25"/>
      <c r="J143" s="26"/>
      <c r="K143" s="27"/>
      <c r="L143" s="28"/>
      <c r="M143" s="27"/>
      <c r="N143" s="26"/>
      <c r="O143" s="121">
        <f t="shared" si="2"/>
        <v>1460</v>
      </c>
      <c r="P143" s="62"/>
      <c r="Q143" s="476"/>
    </row>
    <row r="144" spans="1:17" s="29" customFormat="1" ht="12.75">
      <c r="A144" s="23" t="s">
        <v>560</v>
      </c>
      <c r="B144" s="265" t="s">
        <v>561</v>
      </c>
      <c r="C144" s="107">
        <f>Mar20!O144</f>
        <v>0</v>
      </c>
      <c r="D144" s="10">
        <f>Mar20!P144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6"/>
      <c r="O144" s="121">
        <f t="shared" si="2"/>
        <v>0</v>
      </c>
      <c r="P144" s="62"/>
      <c r="Q144" s="476"/>
    </row>
    <row r="145" spans="1:17" s="29" customFormat="1" ht="12.75">
      <c r="A145" s="23" t="s">
        <v>53</v>
      </c>
      <c r="B145" s="265" t="s">
        <v>528</v>
      </c>
      <c r="C145" s="107">
        <f>Mar20!O145</f>
        <v>0</v>
      </c>
      <c r="D145" s="10">
        <f>Mar20!P145</f>
        <v>0</v>
      </c>
      <c r="E145" s="25"/>
      <c r="F145" s="26"/>
      <c r="G145" s="27"/>
      <c r="H145" s="28"/>
      <c r="I145" s="25"/>
      <c r="J145" s="26"/>
      <c r="K145" s="27"/>
      <c r="L145" s="28"/>
      <c r="M145" s="27"/>
      <c r="N145" s="26"/>
      <c r="O145" s="121">
        <f t="shared" si="2"/>
        <v>0</v>
      </c>
      <c r="P145" s="62"/>
      <c r="Q145" s="476"/>
    </row>
    <row r="146" spans="1:17" s="29" customFormat="1" ht="12.75">
      <c r="A146" s="23" t="s">
        <v>701</v>
      </c>
      <c r="B146" s="265" t="s">
        <v>702</v>
      </c>
      <c r="C146" s="107">
        <f>Mar20!O146</f>
        <v>0</v>
      </c>
      <c r="D146" s="10">
        <f>Mar20!P146</f>
        <v>0</v>
      </c>
      <c r="E146" s="25"/>
      <c r="F146" s="26"/>
      <c r="G146" s="27"/>
      <c r="H146" s="28"/>
      <c r="I146" s="25"/>
      <c r="J146" s="26"/>
      <c r="K146" s="27"/>
      <c r="L146" s="28"/>
      <c r="M146" s="27"/>
      <c r="N146" s="26"/>
      <c r="O146" s="121">
        <f t="shared" si="2"/>
        <v>0</v>
      </c>
      <c r="P146" s="62"/>
      <c r="Q146" s="476"/>
    </row>
    <row r="147" spans="1:17" s="29" customFormat="1" ht="12.75">
      <c r="A147" s="23" t="s">
        <v>68</v>
      </c>
      <c r="B147" s="265" t="s">
        <v>174</v>
      </c>
      <c r="C147" s="107">
        <f>Mar20!O147</f>
        <v>0</v>
      </c>
      <c r="D147" s="10">
        <f>Mar20!P147</f>
        <v>0</v>
      </c>
      <c r="E147" s="25"/>
      <c r="F147" s="26"/>
      <c r="G147" s="27"/>
      <c r="H147" s="28"/>
      <c r="I147" s="25"/>
      <c r="J147" s="26"/>
      <c r="K147" s="27"/>
      <c r="L147" s="28"/>
      <c r="M147" s="27"/>
      <c r="N147" s="26"/>
      <c r="O147" s="121">
        <f t="shared" si="2"/>
        <v>0</v>
      </c>
      <c r="P147" s="62"/>
      <c r="Q147" s="476"/>
    </row>
    <row r="148" spans="1:17" s="29" customFormat="1" ht="12.75">
      <c r="A148" s="23" t="s">
        <v>244</v>
      </c>
      <c r="B148" s="265" t="s">
        <v>237</v>
      </c>
      <c r="C148" s="107">
        <f>Mar20!O148</f>
        <v>0</v>
      </c>
      <c r="D148" s="10">
        <f>Mar20!P148</f>
        <v>0</v>
      </c>
      <c r="E148" s="25"/>
      <c r="F148" s="26"/>
      <c r="G148" s="27"/>
      <c r="H148" s="28"/>
      <c r="I148" s="25"/>
      <c r="J148" s="26"/>
      <c r="K148" s="27"/>
      <c r="L148" s="28"/>
      <c r="M148" s="27"/>
      <c r="N148" s="26"/>
      <c r="O148" s="121">
        <f t="shared" si="2"/>
        <v>0</v>
      </c>
      <c r="P148" s="62"/>
      <c r="Q148" s="476"/>
    </row>
    <row r="149" spans="1:17" s="29" customFormat="1" ht="12.75">
      <c r="A149" s="23" t="s">
        <v>23</v>
      </c>
      <c r="B149" s="265" t="s">
        <v>524</v>
      </c>
      <c r="C149" s="107">
        <f>Mar20!O149</f>
        <v>261044.88</v>
      </c>
      <c r="D149" s="10">
        <f>Mar20!P149</f>
        <v>0</v>
      </c>
      <c r="E149" s="25">
        <v>109404.5</v>
      </c>
      <c r="F149" s="26"/>
      <c r="G149" s="27"/>
      <c r="H149" s="28"/>
      <c r="I149" s="25"/>
      <c r="J149" s="26"/>
      <c r="K149" s="27"/>
      <c r="L149" s="28"/>
      <c r="M149" s="27"/>
      <c r="N149" s="26"/>
      <c r="O149" s="121">
        <f t="shared" si="2"/>
        <v>370449.38</v>
      </c>
      <c r="P149" s="62"/>
      <c r="Q149" s="476"/>
    </row>
    <row r="150" spans="1:17" s="29" customFormat="1" ht="12.75">
      <c r="A150" s="23" t="s">
        <v>245</v>
      </c>
      <c r="B150" s="265" t="s">
        <v>525</v>
      </c>
      <c r="C150" s="107">
        <f>Mar20!O150</f>
        <v>0</v>
      </c>
      <c r="D150" s="10">
        <f>Mar20!P150</f>
        <v>0</v>
      </c>
      <c r="E150" s="25"/>
      <c r="F150" s="26"/>
      <c r="G150" s="27"/>
      <c r="H150" s="28"/>
      <c r="I150" s="25"/>
      <c r="J150" s="26"/>
      <c r="K150" s="27"/>
      <c r="L150" s="28"/>
      <c r="M150" s="27"/>
      <c r="N150" s="26"/>
      <c r="O150" s="121">
        <f t="shared" si="2"/>
        <v>0</v>
      </c>
      <c r="P150" s="62"/>
      <c r="Q150" s="476"/>
    </row>
    <row r="151" spans="1:17" s="29" customFormat="1" ht="12.75">
      <c r="A151" s="8" t="s">
        <v>214</v>
      </c>
      <c r="B151" s="265" t="s">
        <v>574</v>
      </c>
      <c r="C151" s="107">
        <f>Mar20!O151</f>
        <v>0</v>
      </c>
      <c r="D151" s="10">
        <f>Mar20!P151</f>
        <v>0</v>
      </c>
      <c r="E151" s="25"/>
      <c r="F151" s="26"/>
      <c r="G151" s="27"/>
      <c r="H151" s="28"/>
      <c r="I151" s="25"/>
      <c r="J151" s="26"/>
      <c r="K151" s="27"/>
      <c r="L151" s="28"/>
      <c r="M151" s="27"/>
      <c r="N151" s="26"/>
      <c r="O151" s="121">
        <f t="shared" si="2"/>
        <v>0</v>
      </c>
      <c r="P151" s="62"/>
      <c r="Q151" s="476"/>
    </row>
    <row r="152" spans="1:17" s="29" customFormat="1" ht="12.75">
      <c r="A152" s="8" t="s">
        <v>77</v>
      </c>
      <c r="B152" s="265" t="s">
        <v>575</v>
      </c>
      <c r="C152" s="107">
        <f>Mar20!O152</f>
        <v>0</v>
      </c>
      <c r="D152" s="10">
        <f>Mar20!P152</f>
        <v>0</v>
      </c>
      <c r="E152" s="25"/>
      <c r="F152" s="26"/>
      <c r="G152" s="27"/>
      <c r="H152" s="28"/>
      <c r="I152" s="25"/>
      <c r="J152" s="26"/>
      <c r="K152" s="27"/>
      <c r="L152" s="28"/>
      <c r="M152" s="27"/>
      <c r="N152" s="26"/>
      <c r="O152" s="121">
        <f t="shared" si="2"/>
        <v>0</v>
      </c>
      <c r="P152" s="62"/>
      <c r="Q152" s="476"/>
    </row>
    <row r="153" spans="1:17" s="29" customFormat="1" ht="12.75">
      <c r="A153" s="8" t="s">
        <v>78</v>
      </c>
      <c r="B153" s="265" t="s">
        <v>576</v>
      </c>
      <c r="C153" s="107">
        <f>Mar20!O153</f>
        <v>0</v>
      </c>
      <c r="D153" s="10">
        <f>Mar20!P153</f>
        <v>0</v>
      </c>
      <c r="E153" s="25"/>
      <c r="F153" s="26"/>
      <c r="G153" s="27"/>
      <c r="H153" s="28"/>
      <c r="I153" s="25"/>
      <c r="J153" s="26"/>
      <c r="K153" s="27"/>
      <c r="L153" s="28"/>
      <c r="M153" s="27"/>
      <c r="N153" s="26"/>
      <c r="O153" s="121">
        <f t="shared" si="2"/>
        <v>0</v>
      </c>
      <c r="P153" s="62"/>
      <c r="Q153" s="476"/>
    </row>
    <row r="154" spans="1:17" s="29" customFormat="1" ht="12.75">
      <c r="A154" s="8" t="s">
        <v>79</v>
      </c>
      <c r="B154" s="265" t="s">
        <v>577</v>
      </c>
      <c r="C154" s="107">
        <f>Mar20!O154</f>
        <v>0</v>
      </c>
      <c r="D154" s="10">
        <f>Mar20!P154</f>
        <v>0</v>
      </c>
      <c r="E154" s="25"/>
      <c r="F154" s="26"/>
      <c r="G154" s="27"/>
      <c r="H154" s="28"/>
      <c r="I154" s="25"/>
      <c r="J154" s="26"/>
      <c r="K154" s="27"/>
      <c r="L154" s="28"/>
      <c r="M154" s="27"/>
      <c r="N154" s="26"/>
      <c r="O154" s="121">
        <f t="shared" si="2"/>
        <v>0</v>
      </c>
      <c r="P154" s="62"/>
      <c r="Q154" s="476"/>
    </row>
    <row r="155" spans="1:17" s="29" customFormat="1" ht="12.75">
      <c r="A155" s="8" t="s">
        <v>578</v>
      </c>
      <c r="B155" s="265" t="s">
        <v>579</v>
      </c>
      <c r="C155" s="107">
        <f>Mar20!O155</f>
        <v>0</v>
      </c>
      <c r="D155" s="10">
        <f>Mar20!P155</f>
        <v>0</v>
      </c>
      <c r="E155" s="25"/>
      <c r="F155" s="26"/>
      <c r="G155" s="27"/>
      <c r="H155" s="28"/>
      <c r="I155" s="25"/>
      <c r="J155" s="26"/>
      <c r="K155" s="27"/>
      <c r="L155" s="28"/>
      <c r="M155" s="27"/>
      <c r="N155" s="26"/>
      <c r="O155" s="121">
        <f t="shared" si="2"/>
        <v>0</v>
      </c>
      <c r="P155" s="62"/>
      <c r="Q155" s="476"/>
    </row>
    <row r="156" spans="1:17" s="29" customFormat="1" ht="12.75">
      <c r="A156" s="8" t="s">
        <v>580</v>
      </c>
      <c r="B156" s="265" t="s">
        <v>581</v>
      </c>
      <c r="C156" s="107">
        <f>Mar20!O156</f>
        <v>0</v>
      </c>
      <c r="D156" s="10">
        <f>Mar20!P156</f>
        <v>0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121">
        <f>C156+E156+I156+M156-D156-F156-J156-N156+G156-H156+K156-L156</f>
        <v>0</v>
      </c>
      <c r="P156" s="62"/>
      <c r="Q156" s="476"/>
    </row>
    <row r="157" spans="1:16" s="29" customFormat="1" ht="13.5" thickBot="1">
      <c r="A157" s="8" t="s">
        <v>82</v>
      </c>
      <c r="B157" s="265" t="s">
        <v>582</v>
      </c>
      <c r="C157" s="107">
        <f>Mar20!O157</f>
        <v>0</v>
      </c>
      <c r="D157" s="10">
        <f>Mar20!P157</f>
        <v>0</v>
      </c>
      <c r="E157" s="63"/>
      <c r="F157" s="25"/>
      <c r="G157" s="61"/>
      <c r="H157" s="62"/>
      <c r="I157" s="63"/>
      <c r="J157" s="25"/>
      <c r="K157" s="61"/>
      <c r="L157" s="62"/>
      <c r="M157" s="61"/>
      <c r="N157" s="25"/>
      <c r="O157" s="121">
        <f>C157+E157+I157+M157-D157-F157-J157-N157+G157-H157+K157-L157</f>
        <v>0</v>
      </c>
      <c r="P157" s="62"/>
    </row>
    <row r="158" spans="1:16" s="29" customFormat="1" ht="13.5" thickBot="1">
      <c r="A158" s="256"/>
      <c r="B158" s="268"/>
      <c r="C158" s="258">
        <f>SUM(C14:C157)</f>
        <v>147493650.29</v>
      </c>
      <c r="D158" s="258">
        <f>SUM(D14:D157)</f>
        <v>147493650.29</v>
      </c>
      <c r="E158" s="125">
        <f>SUM(E14:E156)</f>
        <v>4238366.2</v>
      </c>
      <c r="F158" s="126">
        <f aca="true" t="shared" si="3" ref="F158:L158">SUM(F14:F156)</f>
        <v>4238366.2</v>
      </c>
      <c r="G158" s="125">
        <f>SUM(G14:G156)</f>
        <v>0</v>
      </c>
      <c r="H158" s="126">
        <f t="shared" si="3"/>
        <v>0</v>
      </c>
      <c r="I158" s="125">
        <f t="shared" si="3"/>
        <v>0</v>
      </c>
      <c r="J158" s="126">
        <f t="shared" si="3"/>
        <v>0</v>
      </c>
      <c r="K158" s="125">
        <f t="shared" si="3"/>
        <v>0</v>
      </c>
      <c r="L158" s="126">
        <f t="shared" si="3"/>
        <v>0</v>
      </c>
      <c r="M158" s="125">
        <f>SUM(M14:M157)</f>
        <v>32067588.14</v>
      </c>
      <c r="N158" s="127">
        <f>SUM(N16:N157)</f>
        <v>32067588.14</v>
      </c>
      <c r="O158" s="128">
        <f>SUM(O14:O157)</f>
        <v>179590442.36999997</v>
      </c>
      <c r="P158" s="129">
        <f>SUM(P14:P157)</f>
        <v>179590442.36999997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/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0" spans="1:16" s="29" customFormat="1" ht="12.75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69" t="s">
        <v>25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" t="s">
        <v>55</v>
      </c>
      <c r="P161" s="30"/>
    </row>
    <row r="162" spans="1:16" s="29" customFormat="1" ht="12.75">
      <c r="A162" s="6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99"/>
      <c r="P162" s="30"/>
    </row>
    <row r="163" spans="1:16" s="29" customFormat="1" ht="12.75">
      <c r="A163" s="6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00"/>
      <c r="P163" s="30"/>
    </row>
    <row r="164" spans="1:16" s="29" customFormat="1" ht="12.75">
      <c r="A164" s="17" t="s">
        <v>658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0" t="s">
        <v>712</v>
      </c>
      <c r="P164" s="30"/>
    </row>
    <row r="165" spans="1:16" s="29" customFormat="1" ht="12.75">
      <c r="A165" s="16" t="s">
        <v>210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" t="s">
        <v>224</v>
      </c>
      <c r="P165" s="30"/>
    </row>
  </sheetData>
  <sheetProtection/>
  <mergeCells count="16">
    <mergeCell ref="A9:P9"/>
    <mergeCell ref="C10:D10"/>
    <mergeCell ref="E10:F10"/>
    <mergeCell ref="G10:H10"/>
    <mergeCell ref="I10:J10"/>
    <mergeCell ref="K10:L10"/>
    <mergeCell ref="M10:N10"/>
    <mergeCell ref="P10:P11"/>
    <mergeCell ref="O10:O11"/>
    <mergeCell ref="A10:A11"/>
    <mergeCell ref="A2:P2"/>
    <mergeCell ref="A3:P3"/>
    <mergeCell ref="A5:P5"/>
    <mergeCell ref="A6:P6"/>
    <mergeCell ref="A7:P7"/>
    <mergeCell ref="A8:P8"/>
  </mergeCells>
  <printOptions/>
  <pageMargins left="0.82" right="0.13" top="0.43" bottom="0.18" header="0.38" footer="0.17"/>
  <pageSetup horizontalDpi="300" verticalDpi="300" orientation="portrait" paperSize="9" scale="92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7.28125" style="30" bestFit="1" customWidth="1"/>
    <col min="2" max="2" width="13.28125" style="30" bestFit="1" customWidth="1"/>
    <col min="3" max="4" width="14.57421875" style="30" customWidth="1"/>
    <col min="5" max="6" width="13.57421875" style="30" customWidth="1"/>
    <col min="7" max="8" width="11.00390625" style="30" customWidth="1"/>
    <col min="9" max="9" width="6.28125" style="30" customWidth="1"/>
    <col min="10" max="10" width="6.8515625" style="30" customWidth="1"/>
    <col min="11" max="11" width="13.57421875" style="30" customWidth="1"/>
    <col min="12" max="12" width="13.8515625" style="30" customWidth="1"/>
    <col min="13" max="14" width="13.57421875" style="30" customWidth="1"/>
    <col min="15" max="15" width="22.421875" style="30" bestFit="1" customWidth="1"/>
    <col min="16" max="16" width="14.57421875" style="30" bestFit="1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759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558" t="s">
        <v>5</v>
      </c>
      <c r="B10" s="35" t="s">
        <v>4</v>
      </c>
      <c r="C10" s="538" t="s">
        <v>760</v>
      </c>
      <c r="D10" s="539"/>
      <c r="E10" s="538" t="s">
        <v>49</v>
      </c>
      <c r="F10" s="539"/>
      <c r="G10" s="538" t="s">
        <v>54</v>
      </c>
      <c r="H10" s="539"/>
      <c r="I10" s="538" t="s">
        <v>48</v>
      </c>
      <c r="J10" s="539"/>
      <c r="K10" s="538" t="s">
        <v>57</v>
      </c>
      <c r="L10" s="539"/>
      <c r="M10" s="538" t="s">
        <v>50</v>
      </c>
      <c r="N10" s="539"/>
      <c r="O10" s="560" t="s">
        <v>7</v>
      </c>
      <c r="P10" s="556" t="s">
        <v>8</v>
      </c>
    </row>
    <row r="11" spans="1:16" ht="16.5" thickBot="1">
      <c r="A11" s="559"/>
      <c r="B11" s="117" t="s">
        <v>6</v>
      </c>
      <c r="C11" s="105" t="s">
        <v>7</v>
      </c>
      <c r="D11" s="106" t="s">
        <v>8</v>
      </c>
      <c r="E11" s="105" t="s">
        <v>7</v>
      </c>
      <c r="F11" s="106" t="s">
        <v>8</v>
      </c>
      <c r="G11" s="105" t="s">
        <v>7</v>
      </c>
      <c r="H11" s="106" t="s">
        <v>8</v>
      </c>
      <c r="I11" s="105" t="s">
        <v>7</v>
      </c>
      <c r="J11" s="106" t="s">
        <v>8</v>
      </c>
      <c r="K11" s="105" t="s">
        <v>7</v>
      </c>
      <c r="L11" s="106" t="s">
        <v>8</v>
      </c>
      <c r="M11" s="105" t="s">
        <v>7</v>
      </c>
      <c r="N11" s="106" t="s">
        <v>8</v>
      </c>
      <c r="O11" s="561"/>
      <c r="P11" s="557"/>
    </row>
    <row r="12" spans="1:16" ht="13.5" customHeight="1">
      <c r="A12" s="40"/>
      <c r="B12" s="41"/>
      <c r="C12" s="40"/>
      <c r="D12" s="42"/>
      <c r="E12" s="40"/>
      <c r="F12" s="42"/>
      <c r="G12" s="40"/>
      <c r="H12" s="42"/>
      <c r="I12" s="40"/>
      <c r="J12" s="42"/>
      <c r="K12" s="40"/>
      <c r="L12" s="42"/>
      <c r="M12" s="40"/>
      <c r="N12" s="42"/>
      <c r="O12" s="482"/>
      <c r="P12" s="114"/>
    </row>
    <row r="13" spans="1:16" ht="12.75" customHeight="1">
      <c r="A13" s="4" t="s">
        <v>9</v>
      </c>
      <c r="B13" s="261"/>
      <c r="C13" s="23"/>
      <c r="D13" s="45"/>
      <c r="E13" s="23"/>
      <c r="F13" s="45"/>
      <c r="G13" s="23"/>
      <c r="H13" s="46"/>
      <c r="I13" s="23"/>
      <c r="J13" s="45"/>
      <c r="K13" s="23"/>
      <c r="L13" s="46"/>
      <c r="M13" s="23"/>
      <c r="N13" s="45"/>
      <c r="O13" s="483"/>
      <c r="P13" s="115"/>
    </row>
    <row r="14" spans="1:16" ht="12.75">
      <c r="A14" s="102" t="s">
        <v>678</v>
      </c>
      <c r="B14" s="262" t="s">
        <v>679</v>
      </c>
      <c r="C14" s="18">
        <f>Apr20!O14</f>
        <v>0</v>
      </c>
      <c r="D14" s="10">
        <f>Apr20!P14</f>
        <v>0</v>
      </c>
      <c r="E14" s="13"/>
      <c r="F14" s="48"/>
      <c r="G14" s="13"/>
      <c r="H14" s="46"/>
      <c r="I14" s="13"/>
      <c r="J14" s="48"/>
      <c r="K14" s="13"/>
      <c r="L14" s="46"/>
      <c r="M14" s="13"/>
      <c r="N14" s="48"/>
      <c r="O14" s="484">
        <f aca="true" t="shared" si="0" ref="O14:O85">C14+E14+I14+M14-D14-F14-J14-N14+G14-H14+K14-L14</f>
        <v>0</v>
      </c>
      <c r="P14" s="22"/>
    </row>
    <row r="15" spans="1:16" s="29" customFormat="1" ht="12.75">
      <c r="A15" s="49" t="s">
        <v>101</v>
      </c>
      <c r="B15" s="262" t="s">
        <v>100</v>
      </c>
      <c r="C15" s="18">
        <f>Apr20!O15</f>
        <v>35000</v>
      </c>
      <c r="D15" s="97">
        <f>Apr20!P15</f>
        <v>0</v>
      </c>
      <c r="E15" s="13"/>
      <c r="F15" s="48"/>
      <c r="G15" s="13"/>
      <c r="H15" s="46"/>
      <c r="I15" s="13"/>
      <c r="J15" s="48"/>
      <c r="K15" s="13"/>
      <c r="L15" s="46"/>
      <c r="M15" s="13"/>
      <c r="N15" s="48"/>
      <c r="O15" s="484">
        <f t="shared" si="0"/>
        <v>35000</v>
      </c>
      <c r="P15" s="22"/>
    </row>
    <row r="16" spans="1:16" s="29" customFormat="1" ht="12.75">
      <c r="A16" s="49" t="s">
        <v>589</v>
      </c>
      <c r="B16" s="262" t="s">
        <v>230</v>
      </c>
      <c r="C16" s="18">
        <f>Apr20!O16</f>
        <v>333912.42</v>
      </c>
      <c r="D16" s="97">
        <f>Apr20!P16</f>
        <v>0</v>
      </c>
      <c r="E16" s="14"/>
      <c r="F16" s="10"/>
      <c r="G16" s="14"/>
      <c r="H16" s="46"/>
      <c r="I16" s="14"/>
      <c r="J16" s="48"/>
      <c r="K16" s="14"/>
      <c r="L16" s="46"/>
      <c r="M16" s="14"/>
      <c r="N16" s="50"/>
      <c r="O16" s="484">
        <f t="shared" si="0"/>
        <v>333912.42</v>
      </c>
      <c r="P16" s="22"/>
    </row>
    <row r="17" spans="1:16" s="29" customFormat="1" ht="12.75">
      <c r="A17" s="49" t="s">
        <v>636</v>
      </c>
      <c r="B17" s="262" t="s">
        <v>590</v>
      </c>
      <c r="C17" s="18">
        <f>Apr20!O17</f>
        <v>0</v>
      </c>
      <c r="D17" s="10">
        <f>Apr20!P17</f>
        <v>0</v>
      </c>
      <c r="E17" s="14"/>
      <c r="F17" s="50"/>
      <c r="G17" s="14"/>
      <c r="H17" s="46"/>
      <c r="I17" s="14"/>
      <c r="J17" s="50"/>
      <c r="K17" s="14"/>
      <c r="L17" s="10"/>
      <c r="M17" s="14"/>
      <c r="N17" s="50"/>
      <c r="O17" s="484">
        <f t="shared" si="0"/>
        <v>0</v>
      </c>
      <c r="P17" s="22"/>
    </row>
    <row r="18" spans="1:16" s="29" customFormat="1" ht="12.75">
      <c r="A18" s="49" t="s">
        <v>103</v>
      </c>
      <c r="B18" s="262" t="s">
        <v>102</v>
      </c>
      <c r="C18" s="18">
        <f>Apr20!O18</f>
        <v>28144514.339999992</v>
      </c>
      <c r="D18" s="97">
        <f>Apr20!P18</f>
        <v>0</v>
      </c>
      <c r="E18" s="14"/>
      <c r="F18" s="50">
        <v>8367118.74</v>
      </c>
      <c r="G18" s="14"/>
      <c r="H18" s="46"/>
      <c r="I18" s="14"/>
      <c r="J18" s="50"/>
      <c r="K18" s="14"/>
      <c r="L18" s="10"/>
      <c r="M18" s="14"/>
      <c r="N18" s="50"/>
      <c r="O18" s="484">
        <f t="shared" si="0"/>
        <v>19777395.599999994</v>
      </c>
      <c r="P18" s="22"/>
    </row>
    <row r="19" spans="1:16" s="29" customFormat="1" ht="12.75">
      <c r="A19" s="49" t="s">
        <v>10</v>
      </c>
      <c r="B19" s="262" t="s">
        <v>104</v>
      </c>
      <c r="C19" s="18">
        <f>Apr20!O19</f>
        <v>12517612.65</v>
      </c>
      <c r="D19" s="97">
        <f>Apr20!P19</f>
        <v>0</v>
      </c>
      <c r="E19" s="14"/>
      <c r="F19" s="50"/>
      <c r="G19" s="14"/>
      <c r="H19" s="46"/>
      <c r="I19" s="14"/>
      <c r="J19" s="50"/>
      <c r="K19" s="14">
        <v>76791.14</v>
      </c>
      <c r="L19" s="10"/>
      <c r="M19" s="14"/>
      <c r="N19" s="50"/>
      <c r="O19" s="484">
        <f t="shared" si="0"/>
        <v>12594403.790000001</v>
      </c>
      <c r="P19" s="22"/>
    </row>
    <row r="20" spans="1:16" s="29" customFormat="1" ht="12.75">
      <c r="A20" s="49" t="s">
        <v>567</v>
      </c>
      <c r="B20" s="262" t="s">
        <v>568</v>
      </c>
      <c r="C20" s="18">
        <f>Apr20!O20</f>
        <v>21915058.29</v>
      </c>
      <c r="D20" s="10">
        <f>Apr20!P20</f>
        <v>0</v>
      </c>
      <c r="E20" s="14"/>
      <c r="F20" s="12"/>
      <c r="G20" s="14"/>
      <c r="H20" s="53"/>
      <c r="I20" s="14"/>
      <c r="J20" s="12"/>
      <c r="K20" s="14"/>
      <c r="L20" s="53"/>
      <c r="M20" s="14"/>
      <c r="N20" s="12"/>
      <c r="O20" s="484">
        <f t="shared" si="0"/>
        <v>21915058.29</v>
      </c>
      <c r="P20" s="22"/>
    </row>
    <row r="21" spans="1:16" s="29" customFormat="1" ht="12.75">
      <c r="A21" s="49" t="s">
        <v>225</v>
      </c>
      <c r="B21" s="263" t="s">
        <v>226</v>
      </c>
      <c r="C21" s="18">
        <f>Apr20!O21</f>
        <v>497000</v>
      </c>
      <c r="D21" s="97">
        <f>Apr20!P21</f>
        <v>0</v>
      </c>
      <c r="E21" s="14"/>
      <c r="F21" s="12"/>
      <c r="G21" s="14"/>
      <c r="H21" s="53"/>
      <c r="I21" s="14"/>
      <c r="J21" s="12"/>
      <c r="K21" s="14"/>
      <c r="L21" s="53"/>
      <c r="M21" s="14"/>
      <c r="N21" s="12"/>
      <c r="O21" s="484">
        <f t="shared" si="0"/>
        <v>497000</v>
      </c>
      <c r="P21" s="22"/>
    </row>
    <row r="22" spans="1:16" s="29" customFormat="1" ht="12.75" customHeight="1">
      <c r="A22" s="49" t="s">
        <v>11</v>
      </c>
      <c r="B22" s="262" t="s">
        <v>105</v>
      </c>
      <c r="C22" s="18">
        <f>Apr20!O22</f>
        <v>46662.22</v>
      </c>
      <c r="D22" s="97">
        <f>Apr20!P22</f>
        <v>0</v>
      </c>
      <c r="E22" s="14">
        <v>102702</v>
      </c>
      <c r="F22" s="12"/>
      <c r="G22" s="14"/>
      <c r="H22" s="53"/>
      <c r="I22" s="14"/>
      <c r="J22" s="12"/>
      <c r="K22" s="14"/>
      <c r="L22" s="53"/>
      <c r="M22" s="14"/>
      <c r="N22" s="12"/>
      <c r="O22" s="484">
        <f t="shared" si="0"/>
        <v>149364.22</v>
      </c>
      <c r="P22" s="122"/>
    </row>
    <row r="23" spans="1:16" s="29" customFormat="1" ht="12.75" customHeight="1">
      <c r="A23" s="74" t="s">
        <v>108</v>
      </c>
      <c r="B23" s="264" t="s">
        <v>106</v>
      </c>
      <c r="C23" s="18">
        <f>Apr20!O23</f>
        <v>0</v>
      </c>
      <c r="D23" s="10">
        <f>Apr20!P23</f>
        <v>0</v>
      </c>
      <c r="E23" s="14"/>
      <c r="F23" s="12"/>
      <c r="G23" s="14"/>
      <c r="H23" s="53"/>
      <c r="I23" s="14"/>
      <c r="J23" s="12"/>
      <c r="K23" s="14"/>
      <c r="L23" s="53"/>
      <c r="M23" s="14"/>
      <c r="N23" s="12"/>
      <c r="O23" s="484">
        <f t="shared" si="0"/>
        <v>0</v>
      </c>
      <c r="P23" s="122"/>
    </row>
    <row r="24" spans="1:16" s="29" customFormat="1" ht="12.75" customHeight="1">
      <c r="A24" s="49" t="s">
        <v>109</v>
      </c>
      <c r="B24" s="262" t="s">
        <v>107</v>
      </c>
      <c r="C24" s="18">
        <f>Apr20!O24</f>
        <v>0</v>
      </c>
      <c r="D24" s="97">
        <f>Apr20!P24</f>
        <v>0</v>
      </c>
      <c r="E24" s="14"/>
      <c r="F24" s="12"/>
      <c r="G24" s="14"/>
      <c r="H24" s="53"/>
      <c r="I24" s="14"/>
      <c r="J24" s="12"/>
      <c r="K24" s="14"/>
      <c r="L24" s="53"/>
      <c r="M24" s="14"/>
      <c r="N24" s="12"/>
      <c r="O24" s="484">
        <f t="shared" si="0"/>
        <v>0</v>
      </c>
      <c r="P24" s="122"/>
    </row>
    <row r="25" spans="1:16" s="29" customFormat="1" ht="12.75" customHeight="1">
      <c r="A25" s="49" t="s">
        <v>239</v>
      </c>
      <c r="B25" s="263" t="s">
        <v>240</v>
      </c>
      <c r="C25" s="18">
        <f>Apr20!O25</f>
        <v>0</v>
      </c>
      <c r="D25" s="97">
        <f>Apr20!P25</f>
        <v>0</v>
      </c>
      <c r="E25" s="14"/>
      <c r="F25" s="12"/>
      <c r="G25" s="14"/>
      <c r="H25" s="98"/>
      <c r="I25" s="14"/>
      <c r="J25" s="12"/>
      <c r="K25" s="14"/>
      <c r="L25" s="53"/>
      <c r="M25" s="14"/>
      <c r="N25" s="12"/>
      <c r="O25" s="484">
        <f t="shared" si="0"/>
        <v>0</v>
      </c>
      <c r="P25" s="122"/>
    </row>
    <row r="26" spans="1:16" s="29" customFormat="1" ht="12.75" customHeight="1">
      <c r="A26" s="49" t="s">
        <v>238</v>
      </c>
      <c r="B26" s="263" t="s">
        <v>231</v>
      </c>
      <c r="C26" s="18">
        <f>Apr20!O26</f>
        <v>0</v>
      </c>
      <c r="D26" s="10">
        <f>Apr20!P26</f>
        <v>0</v>
      </c>
      <c r="E26" s="14"/>
      <c r="F26" s="12"/>
      <c r="G26" s="14"/>
      <c r="H26" s="98"/>
      <c r="I26" s="14"/>
      <c r="J26" s="12"/>
      <c r="K26" s="14"/>
      <c r="L26" s="53"/>
      <c r="M26" s="14"/>
      <c r="N26" s="12"/>
      <c r="O26" s="484">
        <f t="shared" si="0"/>
        <v>0</v>
      </c>
      <c r="P26" s="122"/>
    </row>
    <row r="27" spans="1:16" s="29" customFormat="1" ht="12.75" customHeight="1">
      <c r="A27" s="49" t="s">
        <v>534</v>
      </c>
      <c r="B27" s="263" t="s">
        <v>526</v>
      </c>
      <c r="C27" s="18">
        <f>Apr20!O27</f>
        <v>0</v>
      </c>
      <c r="D27" s="97">
        <f>Apr20!P27</f>
        <v>0</v>
      </c>
      <c r="E27" s="14"/>
      <c r="F27" s="12"/>
      <c r="G27" s="14"/>
      <c r="H27" s="53"/>
      <c r="I27" s="14"/>
      <c r="J27" s="12"/>
      <c r="K27" s="14"/>
      <c r="L27" s="53"/>
      <c r="M27" s="14"/>
      <c r="N27" s="12"/>
      <c r="O27" s="484">
        <f t="shared" si="0"/>
        <v>0</v>
      </c>
      <c r="P27" s="122"/>
    </row>
    <row r="28" spans="1:16" s="29" customFormat="1" ht="12.75" customHeight="1">
      <c r="A28" s="49" t="s">
        <v>315</v>
      </c>
      <c r="B28" s="262" t="s">
        <v>110</v>
      </c>
      <c r="C28" s="18">
        <f>Apr20!O28</f>
        <v>0</v>
      </c>
      <c r="D28" s="97">
        <f>Apr20!P28</f>
        <v>0</v>
      </c>
      <c r="E28" s="14"/>
      <c r="F28" s="12"/>
      <c r="G28" s="14"/>
      <c r="H28" s="53"/>
      <c r="I28" s="14"/>
      <c r="J28" s="12"/>
      <c r="K28" s="14"/>
      <c r="L28" s="53"/>
      <c r="M28" s="14"/>
      <c r="N28" s="12"/>
      <c r="O28" s="484">
        <f>C28+E28+I28+M28-D28-F28-J28-N28+G28-H28+K28-L28</f>
        <v>0</v>
      </c>
      <c r="P28" s="122"/>
    </row>
    <row r="29" spans="1:16" s="29" customFormat="1" ht="12" customHeight="1">
      <c r="A29" s="49" t="s">
        <v>213</v>
      </c>
      <c r="B29" s="262" t="s">
        <v>209</v>
      </c>
      <c r="C29" s="18">
        <f>Apr20!O29</f>
        <v>3060</v>
      </c>
      <c r="D29" s="10">
        <f>Apr20!P29</f>
        <v>0</v>
      </c>
      <c r="E29" s="14">
        <v>16908.95</v>
      </c>
      <c r="F29" s="12">
        <v>3060</v>
      </c>
      <c r="G29" s="14"/>
      <c r="H29" s="53"/>
      <c r="I29" s="14"/>
      <c r="J29" s="12"/>
      <c r="K29" s="14"/>
      <c r="L29" s="53"/>
      <c r="M29" s="14"/>
      <c r="N29" s="12"/>
      <c r="O29" s="484">
        <f t="shared" si="0"/>
        <v>16908.95</v>
      </c>
      <c r="P29" s="122"/>
    </row>
    <row r="30" spans="1:16" s="29" customFormat="1" ht="12.75">
      <c r="A30" s="49" t="s">
        <v>201</v>
      </c>
      <c r="B30" s="262" t="s">
        <v>200</v>
      </c>
      <c r="C30" s="18">
        <f>Apr20!O30</f>
        <v>0</v>
      </c>
      <c r="D30" s="97">
        <f>Apr20!P30</f>
        <v>0</v>
      </c>
      <c r="E30" s="14"/>
      <c r="F30" s="12"/>
      <c r="G30" s="14"/>
      <c r="H30" s="53"/>
      <c r="I30" s="14"/>
      <c r="J30" s="12"/>
      <c r="K30" s="14"/>
      <c r="L30" s="53"/>
      <c r="M30" s="14"/>
      <c r="N30" s="12"/>
      <c r="O30" s="484">
        <f t="shared" si="0"/>
        <v>0</v>
      </c>
      <c r="P30" s="122"/>
    </row>
    <row r="31" spans="1:16" s="29" customFormat="1" ht="12.75">
      <c r="A31" s="49" t="s">
        <v>202</v>
      </c>
      <c r="B31" s="262" t="s">
        <v>203</v>
      </c>
      <c r="C31" s="18">
        <f>Apr20!O31</f>
        <v>0</v>
      </c>
      <c r="D31" s="97">
        <f>Apr20!P31</f>
        <v>0</v>
      </c>
      <c r="E31" s="14"/>
      <c r="F31" s="12"/>
      <c r="G31" s="14"/>
      <c r="H31" s="12"/>
      <c r="I31" s="14"/>
      <c r="J31" s="12"/>
      <c r="K31" s="14"/>
      <c r="L31" s="12"/>
      <c r="M31" s="14"/>
      <c r="N31" s="12"/>
      <c r="O31" s="484">
        <f t="shared" si="0"/>
        <v>0</v>
      </c>
      <c r="P31" s="122"/>
    </row>
    <row r="32" spans="1:16" s="29" customFormat="1" ht="12.75">
      <c r="A32" s="49" t="s">
        <v>727</v>
      </c>
      <c r="B32" s="262" t="s">
        <v>728</v>
      </c>
      <c r="C32" s="18">
        <f>Apr20!O32</f>
        <v>15472460.32</v>
      </c>
      <c r="D32" s="10">
        <f>Apr20!P32</f>
        <v>0</v>
      </c>
      <c r="E32" s="14"/>
      <c r="F32" s="12"/>
      <c r="G32" s="14"/>
      <c r="H32" s="12"/>
      <c r="I32" s="14"/>
      <c r="J32" s="12"/>
      <c r="K32" s="14"/>
      <c r="L32" s="12">
        <v>76791.14</v>
      </c>
      <c r="M32" s="14"/>
      <c r="N32" s="12"/>
      <c r="O32" s="484">
        <f t="shared" si="0"/>
        <v>15395669.18</v>
      </c>
      <c r="P32" s="122"/>
    </row>
    <row r="33" spans="1:16" s="29" customFormat="1" ht="12.75">
      <c r="A33" s="49" t="s">
        <v>12</v>
      </c>
      <c r="B33" s="262" t="s">
        <v>111</v>
      </c>
      <c r="C33" s="18">
        <f>Apr20!O33</f>
        <v>1208049.99</v>
      </c>
      <c r="D33" s="97">
        <f>Apr20!P33</f>
        <v>0</v>
      </c>
      <c r="E33" s="14"/>
      <c r="F33" s="12"/>
      <c r="G33" s="14"/>
      <c r="H33" s="12"/>
      <c r="I33" s="14"/>
      <c r="J33" s="12"/>
      <c r="K33" s="14"/>
      <c r="L33" s="12"/>
      <c r="M33" s="14"/>
      <c r="N33" s="12"/>
      <c r="O33" s="484">
        <f t="shared" si="0"/>
        <v>1208049.99</v>
      </c>
      <c r="P33" s="122">
        <f aca="true" t="shared" si="1" ref="P33:P50">D33+F33+J33+N33+H33-E33-G33-I33-M33+L33-K33</f>
        <v>0</v>
      </c>
    </row>
    <row r="34" spans="1:16" s="29" customFormat="1" ht="12.75">
      <c r="A34" s="49" t="s">
        <v>120</v>
      </c>
      <c r="B34" s="262" t="s">
        <v>112</v>
      </c>
      <c r="C34" s="18">
        <f>Apr20!O34</f>
        <v>0</v>
      </c>
      <c r="D34" s="97">
        <f>Apr20!P34</f>
        <v>364327.7</v>
      </c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484"/>
      <c r="P34" s="122">
        <f t="shared" si="1"/>
        <v>364327.7</v>
      </c>
    </row>
    <row r="35" spans="1:16" s="29" customFormat="1" ht="12.75">
      <c r="A35" s="49" t="s">
        <v>114</v>
      </c>
      <c r="B35" s="262" t="s">
        <v>113</v>
      </c>
      <c r="C35" s="18">
        <f>Apr20!O35</f>
        <v>718378</v>
      </c>
      <c r="D35" s="10">
        <f>Apr20!P35</f>
        <v>0</v>
      </c>
      <c r="E35" s="14"/>
      <c r="F35" s="12"/>
      <c r="G35" s="14"/>
      <c r="H35" s="12"/>
      <c r="I35" s="14"/>
      <c r="J35" s="12"/>
      <c r="K35" s="14"/>
      <c r="L35" s="12"/>
      <c r="M35" s="14"/>
      <c r="N35" s="12"/>
      <c r="O35" s="484">
        <f t="shared" si="0"/>
        <v>718378</v>
      </c>
      <c r="P35" s="122">
        <f t="shared" si="1"/>
        <v>0</v>
      </c>
    </row>
    <row r="36" spans="1:16" s="29" customFormat="1" ht="12.75" customHeight="1">
      <c r="A36" s="49" t="s">
        <v>115</v>
      </c>
      <c r="B36" s="262" t="s">
        <v>121</v>
      </c>
      <c r="C36" s="18">
        <f>Apr20!O36</f>
        <v>0</v>
      </c>
      <c r="D36" s="97">
        <f>Apr20!P36</f>
        <v>422310.89</v>
      </c>
      <c r="E36" s="14"/>
      <c r="F36" s="12"/>
      <c r="G36" s="14"/>
      <c r="H36" s="12"/>
      <c r="I36" s="14"/>
      <c r="J36" s="12"/>
      <c r="K36" s="14"/>
      <c r="L36" s="12"/>
      <c r="M36" s="14"/>
      <c r="N36" s="12"/>
      <c r="O36" s="484"/>
      <c r="P36" s="122">
        <f t="shared" si="1"/>
        <v>422310.89</v>
      </c>
    </row>
    <row r="37" spans="1:16" s="29" customFormat="1" ht="12.75" customHeight="1">
      <c r="A37" s="49" t="s">
        <v>780</v>
      </c>
      <c r="B37" s="262" t="s">
        <v>778</v>
      </c>
      <c r="C37" s="18">
        <f>Apr20!O37</f>
        <v>0</v>
      </c>
      <c r="D37" s="97">
        <f>Apr20!P37</f>
        <v>0</v>
      </c>
      <c r="E37" s="14"/>
      <c r="F37" s="12"/>
      <c r="G37" s="14"/>
      <c r="H37" s="12"/>
      <c r="I37" s="14"/>
      <c r="J37" s="12"/>
      <c r="K37" s="14"/>
      <c r="L37" s="12"/>
      <c r="M37" s="14">
        <v>40426250</v>
      </c>
      <c r="N37" s="12"/>
      <c r="O37" s="484">
        <f t="shared" si="0"/>
        <v>40426250</v>
      </c>
      <c r="P37" s="122"/>
    </row>
    <row r="38" spans="1:16" s="29" customFormat="1" ht="12.75" customHeight="1">
      <c r="A38" s="49" t="s">
        <v>781</v>
      </c>
      <c r="B38" s="262" t="s">
        <v>779</v>
      </c>
      <c r="C38" s="18">
        <f>Apr20!O38</f>
        <v>0</v>
      </c>
      <c r="D38" s="10">
        <f>Apr20!P38</f>
        <v>0</v>
      </c>
      <c r="E38" s="14"/>
      <c r="F38" s="12"/>
      <c r="G38" s="14"/>
      <c r="H38" s="12"/>
      <c r="I38" s="14"/>
      <c r="J38" s="12"/>
      <c r="K38" s="14"/>
      <c r="L38" s="12"/>
      <c r="M38" s="14"/>
      <c r="N38" s="12"/>
      <c r="O38" s="484"/>
      <c r="P38" s="122">
        <f t="shared" si="1"/>
        <v>0</v>
      </c>
    </row>
    <row r="39" spans="1:16" s="29" customFormat="1" ht="12.75" customHeight="1">
      <c r="A39" s="49" t="s">
        <v>782</v>
      </c>
      <c r="B39" s="262" t="s">
        <v>783</v>
      </c>
      <c r="C39" s="18">
        <f>Apr20!O39</f>
        <v>0</v>
      </c>
      <c r="D39" s="97">
        <f>Apr20!P39</f>
        <v>0</v>
      </c>
      <c r="E39" s="14"/>
      <c r="F39" s="12"/>
      <c r="G39" s="14"/>
      <c r="H39" s="12"/>
      <c r="I39" s="14"/>
      <c r="J39" s="12"/>
      <c r="K39" s="14"/>
      <c r="L39" s="12"/>
      <c r="M39" s="14"/>
      <c r="N39" s="12"/>
      <c r="O39" s="484">
        <f t="shared" si="0"/>
        <v>0</v>
      </c>
      <c r="P39" s="122"/>
    </row>
    <row r="40" spans="1:16" s="29" customFormat="1" ht="12.75" customHeight="1">
      <c r="A40" s="49" t="s">
        <v>784</v>
      </c>
      <c r="B40" s="262" t="s">
        <v>785</v>
      </c>
      <c r="C40" s="18">
        <f>Apr20!O40</f>
        <v>0</v>
      </c>
      <c r="D40" s="97">
        <f>Apr20!P40</f>
        <v>0</v>
      </c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484"/>
      <c r="P40" s="122">
        <f t="shared" si="1"/>
        <v>0</v>
      </c>
    </row>
    <row r="41" spans="1:16" s="29" customFormat="1" ht="12.75" customHeight="1">
      <c r="A41" s="49" t="s">
        <v>786</v>
      </c>
      <c r="B41" s="262" t="s">
        <v>788</v>
      </c>
      <c r="C41" s="18"/>
      <c r="D41" s="22"/>
      <c r="E41" s="14"/>
      <c r="F41" s="12"/>
      <c r="G41" s="14"/>
      <c r="H41" s="12"/>
      <c r="I41" s="14"/>
      <c r="J41" s="12"/>
      <c r="K41" s="14"/>
      <c r="L41" s="12"/>
      <c r="M41" s="14"/>
      <c r="N41" s="12"/>
      <c r="O41" s="484"/>
      <c r="P41" s="122"/>
    </row>
    <row r="42" spans="1:16" s="29" customFormat="1" ht="12.75" customHeight="1">
      <c r="A42" s="49" t="s">
        <v>787</v>
      </c>
      <c r="B42" s="262" t="s">
        <v>789</v>
      </c>
      <c r="C42" s="18"/>
      <c r="D42" s="22"/>
      <c r="E42" s="14"/>
      <c r="F42" s="12"/>
      <c r="G42" s="14"/>
      <c r="H42" s="12"/>
      <c r="I42" s="14"/>
      <c r="J42" s="12"/>
      <c r="K42" s="14"/>
      <c r="L42" s="12"/>
      <c r="M42" s="14"/>
      <c r="N42" s="12"/>
      <c r="O42" s="484"/>
      <c r="P42" s="122"/>
    </row>
    <row r="43" spans="1:16" s="29" customFormat="1" ht="12.75" customHeight="1">
      <c r="A43" s="49" t="s">
        <v>530</v>
      </c>
      <c r="B43" s="262" t="s">
        <v>533</v>
      </c>
      <c r="C43" s="18">
        <f>Apr20!O43</f>
        <v>40622</v>
      </c>
      <c r="D43" s="10">
        <f>Apr20!P43</f>
        <v>0</v>
      </c>
      <c r="E43" s="14"/>
      <c r="F43" s="12"/>
      <c r="G43" s="14"/>
      <c r="H43" s="12"/>
      <c r="I43" s="14"/>
      <c r="J43" s="12"/>
      <c r="K43" s="14"/>
      <c r="L43" s="12"/>
      <c r="M43" s="14"/>
      <c r="N43" s="12"/>
      <c r="O43" s="484">
        <f t="shared" si="0"/>
        <v>40622</v>
      </c>
      <c r="P43" s="122">
        <f t="shared" si="1"/>
        <v>0</v>
      </c>
    </row>
    <row r="44" spans="1:16" s="29" customFormat="1" ht="12.75">
      <c r="A44" s="49" t="s">
        <v>531</v>
      </c>
      <c r="B44" s="262" t="s">
        <v>532</v>
      </c>
      <c r="C44" s="18">
        <f>Apr20!O44</f>
        <v>0</v>
      </c>
      <c r="D44" s="97">
        <f>Apr20!P44</f>
        <v>9647.73</v>
      </c>
      <c r="E44" s="14"/>
      <c r="F44" s="12"/>
      <c r="G44" s="14"/>
      <c r="H44" s="12"/>
      <c r="I44" s="14"/>
      <c r="J44" s="12"/>
      <c r="K44" s="14"/>
      <c r="L44" s="12"/>
      <c r="M44" s="14"/>
      <c r="N44" s="12"/>
      <c r="O44" s="484"/>
      <c r="P44" s="122">
        <f t="shared" si="1"/>
        <v>9647.73</v>
      </c>
    </row>
    <row r="45" spans="1:16" s="29" customFormat="1" ht="12.75">
      <c r="A45" s="49" t="s">
        <v>128</v>
      </c>
      <c r="B45" s="262" t="s">
        <v>130</v>
      </c>
      <c r="C45" s="18">
        <f>Apr20!O45</f>
        <v>545970</v>
      </c>
      <c r="D45" s="97">
        <f>Apr20!P45</f>
        <v>0</v>
      </c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484">
        <f t="shared" si="0"/>
        <v>545970</v>
      </c>
      <c r="P45" s="122">
        <f t="shared" si="1"/>
        <v>0</v>
      </c>
    </row>
    <row r="46" spans="1:16" s="29" customFormat="1" ht="12.75">
      <c r="A46" s="49" t="s">
        <v>129</v>
      </c>
      <c r="B46" s="262" t="s">
        <v>131</v>
      </c>
      <c r="C46" s="18">
        <f>Apr20!O46</f>
        <v>0</v>
      </c>
      <c r="D46" s="10">
        <f>Apr20!P46</f>
        <v>370243.56</v>
      </c>
      <c r="E46" s="14"/>
      <c r="F46" s="12"/>
      <c r="G46" s="14"/>
      <c r="H46" s="12"/>
      <c r="I46" s="14"/>
      <c r="J46" s="12"/>
      <c r="K46" s="14"/>
      <c r="L46" s="12"/>
      <c r="M46" s="14"/>
      <c r="N46" s="12"/>
      <c r="O46" s="484"/>
      <c r="P46" s="122">
        <f t="shared" si="1"/>
        <v>370243.56</v>
      </c>
    </row>
    <row r="47" spans="1:16" s="29" customFormat="1" ht="12.75">
      <c r="A47" s="49" t="s">
        <v>41</v>
      </c>
      <c r="B47" s="262" t="s">
        <v>126</v>
      </c>
      <c r="C47" s="18">
        <f>Apr20!O47</f>
        <v>2391000</v>
      </c>
      <c r="D47" s="97">
        <f>Apr20!P47</f>
        <v>0</v>
      </c>
      <c r="E47" s="14"/>
      <c r="F47" s="12"/>
      <c r="G47" s="14"/>
      <c r="H47" s="12"/>
      <c r="I47" s="14"/>
      <c r="J47" s="12"/>
      <c r="K47" s="14"/>
      <c r="L47" s="12"/>
      <c r="M47" s="14"/>
      <c r="N47" s="12"/>
      <c r="O47" s="484">
        <f t="shared" si="0"/>
        <v>2391000</v>
      </c>
      <c r="P47" s="122">
        <f t="shared" si="1"/>
        <v>0</v>
      </c>
    </row>
    <row r="48" spans="1:16" s="29" customFormat="1" ht="12.75">
      <c r="A48" s="49" t="s">
        <v>42</v>
      </c>
      <c r="B48" s="262" t="s">
        <v>127</v>
      </c>
      <c r="C48" s="18">
        <f>Apr20!O48</f>
        <v>0</v>
      </c>
      <c r="D48" s="97">
        <f>Apr20!P48</f>
        <v>854100</v>
      </c>
      <c r="E48" s="14"/>
      <c r="F48" s="12"/>
      <c r="G48" s="14"/>
      <c r="H48" s="12"/>
      <c r="I48" s="14"/>
      <c r="J48" s="12"/>
      <c r="K48" s="14"/>
      <c r="L48" s="12"/>
      <c r="M48" s="14"/>
      <c r="N48" s="12"/>
      <c r="O48" s="484">
        <v>0</v>
      </c>
      <c r="P48" s="122">
        <f t="shared" si="1"/>
        <v>854100</v>
      </c>
    </row>
    <row r="49" spans="1:16" s="29" customFormat="1" ht="12.75">
      <c r="A49" s="49" t="s">
        <v>13</v>
      </c>
      <c r="B49" s="262" t="s">
        <v>118</v>
      </c>
      <c r="C49" s="18">
        <f>Apr20!O49</f>
        <v>631727.2</v>
      </c>
      <c r="D49" s="10">
        <f>Apr20!P49</f>
        <v>0</v>
      </c>
      <c r="E49" s="14"/>
      <c r="F49" s="12"/>
      <c r="G49" s="14"/>
      <c r="H49" s="12"/>
      <c r="I49" s="14"/>
      <c r="J49" s="12"/>
      <c r="K49" s="14"/>
      <c r="L49" s="12"/>
      <c r="M49" s="14"/>
      <c r="N49" s="12"/>
      <c r="O49" s="484">
        <f t="shared" si="0"/>
        <v>631727.2</v>
      </c>
      <c r="P49" s="122">
        <f t="shared" si="1"/>
        <v>0</v>
      </c>
    </row>
    <row r="50" spans="1:16" s="29" customFormat="1" ht="12.75">
      <c r="A50" s="49" t="s">
        <v>14</v>
      </c>
      <c r="B50" s="262" t="s">
        <v>119</v>
      </c>
      <c r="C50" s="18">
        <f>Apr20!O50</f>
        <v>0</v>
      </c>
      <c r="D50" s="97">
        <f>Apr20!P50</f>
        <v>319092.84</v>
      </c>
      <c r="E50" s="14"/>
      <c r="F50" s="12"/>
      <c r="G50" s="14"/>
      <c r="H50" s="12"/>
      <c r="I50" s="14"/>
      <c r="J50" s="12"/>
      <c r="K50" s="14"/>
      <c r="L50" s="12"/>
      <c r="M50" s="14"/>
      <c r="N50" s="12"/>
      <c r="O50" s="484"/>
      <c r="P50" s="122">
        <f t="shared" si="1"/>
        <v>319092.84</v>
      </c>
    </row>
    <row r="51" spans="1:17" s="29" customFormat="1" ht="12.75">
      <c r="A51" s="49" t="s">
        <v>680</v>
      </c>
      <c r="B51" s="262" t="s">
        <v>681</v>
      </c>
      <c r="C51" s="18">
        <f>Apr20!O51</f>
        <v>0</v>
      </c>
      <c r="D51" s="97">
        <f>Apr20!P51</f>
        <v>0</v>
      </c>
      <c r="E51" s="14"/>
      <c r="F51" s="12"/>
      <c r="G51" s="14"/>
      <c r="H51" s="12"/>
      <c r="I51" s="14"/>
      <c r="J51" s="12"/>
      <c r="K51" s="14"/>
      <c r="L51" s="12"/>
      <c r="M51" s="14"/>
      <c r="N51" s="12"/>
      <c r="O51" s="484">
        <f t="shared" si="0"/>
        <v>0</v>
      </c>
      <c r="P51" s="122"/>
      <c r="Q51" s="55"/>
    </row>
    <row r="52" spans="1:17" s="29" customFormat="1" ht="12.75" customHeight="1">
      <c r="A52" s="49" t="s">
        <v>683</v>
      </c>
      <c r="B52" s="262" t="s">
        <v>682</v>
      </c>
      <c r="C52" s="18">
        <f>Apr20!O52</f>
        <v>0</v>
      </c>
      <c r="D52" s="10">
        <f>Apr20!P52</f>
        <v>0</v>
      </c>
      <c r="E52" s="14"/>
      <c r="F52" s="12"/>
      <c r="G52" s="14"/>
      <c r="H52" s="12"/>
      <c r="I52" s="14"/>
      <c r="J52" s="12"/>
      <c r="K52" s="14"/>
      <c r="L52" s="12"/>
      <c r="M52" s="14"/>
      <c r="N52" s="12"/>
      <c r="O52" s="484"/>
      <c r="P52" s="122">
        <f aca="true" t="shared" si="2" ref="P52:P62">D52+F52+J52+N52+H52-E52-G52-I52-M52+L52-K52</f>
        <v>0</v>
      </c>
      <c r="Q52" s="55"/>
    </row>
    <row r="53" spans="1:17" s="29" customFormat="1" ht="12.75" customHeight="1">
      <c r="A53" s="49" t="s">
        <v>559</v>
      </c>
      <c r="B53" s="262" t="s">
        <v>558</v>
      </c>
      <c r="C53" s="18">
        <f>Apr20!O53</f>
        <v>40426250</v>
      </c>
      <c r="D53" s="97">
        <f>Apr20!P53</f>
        <v>0</v>
      </c>
      <c r="E53" s="14"/>
      <c r="F53" s="12"/>
      <c r="G53" s="14"/>
      <c r="H53" s="12"/>
      <c r="I53" s="14"/>
      <c r="J53" s="12"/>
      <c r="K53" s="14"/>
      <c r="L53" s="12"/>
      <c r="M53" s="14"/>
      <c r="N53" s="12">
        <v>40426250</v>
      </c>
      <c r="O53" s="484">
        <f t="shared" si="0"/>
        <v>0</v>
      </c>
      <c r="P53" s="122"/>
      <c r="Q53" s="55"/>
    </row>
    <row r="54" spans="1:16" s="29" customFormat="1" ht="12.75">
      <c r="A54" s="54" t="s">
        <v>15</v>
      </c>
      <c r="B54" s="262" t="s">
        <v>132</v>
      </c>
      <c r="C54" s="18">
        <f>Apr20!O54</f>
        <v>327763.39</v>
      </c>
      <c r="D54" s="97">
        <f>Apr20!P54</f>
        <v>0</v>
      </c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484">
        <f t="shared" si="0"/>
        <v>327763.39</v>
      </c>
      <c r="P54" s="122">
        <f t="shared" si="2"/>
        <v>0</v>
      </c>
    </row>
    <row r="55" spans="1:16" s="29" customFormat="1" ht="12.75">
      <c r="A55" s="8"/>
      <c r="B55" s="249"/>
      <c r="C55" s="18">
        <f>Apr20!O55</f>
        <v>0</v>
      </c>
      <c r="D55" s="10">
        <f>Apr20!P55</f>
        <v>0</v>
      </c>
      <c r="E55" s="14"/>
      <c r="F55" s="12"/>
      <c r="G55" s="14"/>
      <c r="H55" s="12"/>
      <c r="I55" s="14"/>
      <c r="J55" s="12"/>
      <c r="K55" s="14"/>
      <c r="L55" s="12"/>
      <c r="M55" s="14"/>
      <c r="N55" s="12"/>
      <c r="O55" s="484">
        <f t="shared" si="0"/>
        <v>0</v>
      </c>
      <c r="P55" s="122">
        <f t="shared" si="2"/>
        <v>0</v>
      </c>
    </row>
    <row r="56" spans="1:17" s="29" customFormat="1" ht="12.75">
      <c r="A56" s="7" t="s">
        <v>16</v>
      </c>
      <c r="B56" s="249"/>
      <c r="C56" s="18">
        <f>Apr20!O56</f>
        <v>0</v>
      </c>
      <c r="D56" s="97">
        <f>Apr20!P56</f>
        <v>0</v>
      </c>
      <c r="E56" s="14"/>
      <c r="F56" s="12"/>
      <c r="G56" s="14"/>
      <c r="H56" s="12"/>
      <c r="I56" s="14"/>
      <c r="J56" s="12"/>
      <c r="K56" s="14"/>
      <c r="L56" s="12"/>
      <c r="M56" s="14"/>
      <c r="N56" s="486"/>
      <c r="O56" s="484"/>
      <c r="P56" s="122">
        <f t="shared" si="2"/>
        <v>0</v>
      </c>
      <c r="Q56" s="55"/>
    </row>
    <row r="57" spans="1:17" s="29" customFormat="1" ht="12.75">
      <c r="A57" s="49" t="s">
        <v>31</v>
      </c>
      <c r="B57" s="262" t="s">
        <v>133</v>
      </c>
      <c r="C57" s="18">
        <f>Apr20!O57</f>
        <v>0</v>
      </c>
      <c r="D57" s="97">
        <f>Apr20!P57</f>
        <v>35250</v>
      </c>
      <c r="E57" s="14"/>
      <c r="F57" s="12"/>
      <c r="G57" s="14"/>
      <c r="H57" s="12"/>
      <c r="I57" s="14"/>
      <c r="J57" s="12"/>
      <c r="K57" s="14"/>
      <c r="L57" s="12"/>
      <c r="M57" s="14"/>
      <c r="N57" s="12"/>
      <c r="O57" s="484"/>
      <c r="P57" s="122">
        <f t="shared" si="2"/>
        <v>35250</v>
      </c>
      <c r="Q57" s="55"/>
    </row>
    <row r="58" spans="1:17" s="29" customFormat="1" ht="12.75">
      <c r="A58" s="49" t="s">
        <v>46</v>
      </c>
      <c r="B58" s="262" t="s">
        <v>134</v>
      </c>
      <c r="C58" s="18">
        <f>Apr20!O58</f>
        <v>0</v>
      </c>
      <c r="D58" s="10">
        <f>Apr20!P58</f>
        <v>164869.94000000003</v>
      </c>
      <c r="E58" s="14"/>
      <c r="F58" s="12">
        <v>217144.6</v>
      </c>
      <c r="G58" s="14"/>
      <c r="H58" s="12"/>
      <c r="I58" s="14"/>
      <c r="J58" s="12"/>
      <c r="K58" s="14"/>
      <c r="L58" s="12"/>
      <c r="M58" s="14">
        <v>164869.94</v>
      </c>
      <c r="N58" s="12"/>
      <c r="O58" s="484"/>
      <c r="P58" s="122">
        <f t="shared" si="2"/>
        <v>217144.60000000003</v>
      </c>
      <c r="Q58" s="55"/>
    </row>
    <row r="59" spans="1:16" s="29" customFormat="1" ht="12.75">
      <c r="A59" s="74" t="s">
        <v>685</v>
      </c>
      <c r="B59" s="264" t="s">
        <v>684</v>
      </c>
      <c r="C59" s="18">
        <f>Apr20!O59</f>
        <v>0</v>
      </c>
      <c r="D59" s="97">
        <f>Apr20!P59</f>
        <v>703616.55</v>
      </c>
      <c r="E59" s="14">
        <v>172136.7</v>
      </c>
      <c r="F59" s="12">
        <v>97212.06</v>
      </c>
      <c r="G59" s="14"/>
      <c r="H59" s="12"/>
      <c r="I59" s="14"/>
      <c r="J59" s="12"/>
      <c r="K59" s="14"/>
      <c r="L59" s="12"/>
      <c r="M59" s="14"/>
      <c r="N59" s="486"/>
      <c r="O59" s="484"/>
      <c r="P59" s="122">
        <f t="shared" si="2"/>
        <v>628691.9100000001</v>
      </c>
    </row>
    <row r="60" spans="1:17" s="29" customFormat="1" ht="12.75">
      <c r="A60" s="74" t="s">
        <v>686</v>
      </c>
      <c r="B60" s="264" t="s">
        <v>688</v>
      </c>
      <c r="C60" s="18">
        <f>Apr20!O60</f>
        <v>0</v>
      </c>
      <c r="D60" s="97">
        <f>Apr20!P60</f>
        <v>10448.25999999998</v>
      </c>
      <c r="E60" s="14"/>
      <c r="F60" s="12"/>
      <c r="G60" s="14"/>
      <c r="H60" s="12"/>
      <c r="I60" s="14"/>
      <c r="J60" s="12"/>
      <c r="K60" s="14"/>
      <c r="L60" s="12"/>
      <c r="M60" s="14"/>
      <c r="N60" s="12"/>
      <c r="O60" s="484"/>
      <c r="P60" s="122">
        <f t="shared" si="2"/>
        <v>10448.25999999998</v>
      </c>
      <c r="Q60" s="55"/>
    </row>
    <row r="61" spans="1:16" s="29" customFormat="1" ht="12.75">
      <c r="A61" s="74" t="s">
        <v>687</v>
      </c>
      <c r="B61" s="264" t="s">
        <v>689</v>
      </c>
      <c r="C61" s="18">
        <f>Apr20!O61</f>
        <v>0</v>
      </c>
      <c r="D61" s="10">
        <f>Apr20!P61</f>
        <v>11777.86</v>
      </c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484"/>
      <c r="P61" s="122">
        <f t="shared" si="2"/>
        <v>11777.86</v>
      </c>
    </row>
    <row r="62" spans="1:16" s="29" customFormat="1" ht="12.75">
      <c r="A62" s="49" t="s">
        <v>690</v>
      </c>
      <c r="B62" s="262" t="s">
        <v>692</v>
      </c>
      <c r="C62" s="18">
        <f>Apr20!O62</f>
        <v>0</v>
      </c>
      <c r="D62" s="97">
        <f>Apr20!P62</f>
        <v>11595.72</v>
      </c>
      <c r="E62" s="27"/>
      <c r="F62" s="28">
        <v>2984.68</v>
      </c>
      <c r="G62" s="27"/>
      <c r="H62" s="28"/>
      <c r="I62" s="27"/>
      <c r="J62" s="28"/>
      <c r="K62" s="27"/>
      <c r="L62" s="28"/>
      <c r="M62" s="27"/>
      <c r="N62" s="28"/>
      <c r="O62" s="484"/>
      <c r="P62" s="122">
        <f t="shared" si="2"/>
        <v>14580.4</v>
      </c>
    </row>
    <row r="63" spans="1:17" s="29" customFormat="1" ht="12.75">
      <c r="A63" s="49" t="s">
        <v>691</v>
      </c>
      <c r="B63" s="262" t="s">
        <v>693</v>
      </c>
      <c r="C63" s="18">
        <f>Apr20!O63</f>
        <v>0</v>
      </c>
      <c r="D63" s="97">
        <f>Apr20!P63</f>
        <v>2901.33</v>
      </c>
      <c r="E63" s="27"/>
      <c r="F63" s="28">
        <v>408.33</v>
      </c>
      <c r="G63" s="27"/>
      <c r="H63" s="28"/>
      <c r="I63" s="27"/>
      <c r="J63" s="28"/>
      <c r="K63" s="27"/>
      <c r="L63" s="28"/>
      <c r="M63" s="27"/>
      <c r="N63" s="28"/>
      <c r="O63" s="484"/>
      <c r="P63" s="122">
        <f>D63+F63+J63+N63+H63-E63-G63-I63-M63+L63-K63</f>
        <v>3309.66</v>
      </c>
      <c r="Q63" s="104"/>
    </row>
    <row r="64" spans="1:17" s="29" customFormat="1" ht="12.75">
      <c r="A64" s="49" t="s">
        <v>47</v>
      </c>
      <c r="B64" s="262" t="s">
        <v>137</v>
      </c>
      <c r="C64" s="18">
        <f>Apr20!O64</f>
        <v>0</v>
      </c>
      <c r="D64" s="10">
        <f>Apr20!P64</f>
        <v>28071.150000000005</v>
      </c>
      <c r="E64" s="27">
        <v>12356.25</v>
      </c>
      <c r="F64" s="28">
        <v>12356.25</v>
      </c>
      <c r="G64" s="27"/>
      <c r="H64" s="28"/>
      <c r="I64" s="27"/>
      <c r="J64" s="28"/>
      <c r="K64" s="27"/>
      <c r="L64" s="28"/>
      <c r="M64" s="27"/>
      <c r="N64" s="28"/>
      <c r="O64" s="484"/>
      <c r="P64" s="122">
        <f>D64+F64+J64+N64+H64-E64-G64-I64-M64+L64-K64</f>
        <v>28071.15000000001</v>
      </c>
      <c r="Q64" s="104"/>
    </row>
    <row r="65" spans="1:17" s="29" customFormat="1" ht="12.75">
      <c r="A65" s="74" t="s">
        <v>59</v>
      </c>
      <c r="B65" s="264" t="s">
        <v>138</v>
      </c>
      <c r="C65" s="18">
        <f>Apr20!O65</f>
        <v>0</v>
      </c>
      <c r="D65" s="97">
        <f>Apr20!P65</f>
        <v>159820.53000000003</v>
      </c>
      <c r="E65" s="27">
        <v>154111.89</v>
      </c>
      <c r="F65" s="28">
        <v>96976.97</v>
      </c>
      <c r="G65" s="27"/>
      <c r="H65" s="28"/>
      <c r="I65" s="27"/>
      <c r="J65" s="28"/>
      <c r="K65" s="27"/>
      <c r="L65" s="28"/>
      <c r="M65" s="27"/>
      <c r="N65" s="28"/>
      <c r="O65" s="484"/>
      <c r="P65" s="122">
        <f>D65+F65+J65+N65+H65-E65-G65-I65-M65+L65-K65</f>
        <v>102685.61000000002</v>
      </c>
      <c r="Q65" s="104"/>
    </row>
    <row r="66" spans="1:17" s="29" customFormat="1" ht="12.75">
      <c r="A66" s="49" t="s">
        <v>17</v>
      </c>
      <c r="B66" s="262" t="s">
        <v>139</v>
      </c>
      <c r="C66" s="18">
        <f>Apr20!O66</f>
        <v>0</v>
      </c>
      <c r="D66" s="97">
        <f>Apr20!P66</f>
        <v>0</v>
      </c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484"/>
      <c r="P66" s="122">
        <f>D66+F66+J66+N66+H66-E66-G66-I66-M66+L66-K66</f>
        <v>0</v>
      </c>
      <c r="Q66" s="104"/>
    </row>
    <row r="67" spans="1:17" s="29" customFormat="1" ht="12.75">
      <c r="A67" s="8"/>
      <c r="B67" s="249"/>
      <c r="C67" s="18">
        <f>Apr20!O67</f>
        <v>0</v>
      </c>
      <c r="D67" s="10">
        <f>Apr20!P67</f>
        <v>0</v>
      </c>
      <c r="E67" s="27"/>
      <c r="F67" s="28"/>
      <c r="G67" s="27"/>
      <c r="H67" s="28"/>
      <c r="I67" s="27"/>
      <c r="J67" s="28"/>
      <c r="K67" s="27"/>
      <c r="L67" s="28"/>
      <c r="M67" s="27"/>
      <c r="N67" s="28"/>
      <c r="O67" s="484"/>
      <c r="P67" s="122"/>
      <c r="Q67" s="104"/>
    </row>
    <row r="68" spans="1:17" s="29" customFormat="1" ht="12.75">
      <c r="A68" s="7" t="s">
        <v>32</v>
      </c>
      <c r="B68" s="249"/>
      <c r="C68" s="18">
        <f>Apr20!O68</f>
        <v>0</v>
      </c>
      <c r="D68" s="97">
        <f>Apr20!P68</f>
        <v>0</v>
      </c>
      <c r="E68" s="27"/>
      <c r="F68" s="28"/>
      <c r="G68" s="27"/>
      <c r="H68" s="28"/>
      <c r="I68" s="27"/>
      <c r="J68" s="28"/>
      <c r="K68" s="27"/>
      <c r="L68" s="28"/>
      <c r="M68" s="27"/>
      <c r="N68" s="28"/>
      <c r="O68" s="484"/>
      <c r="P68" s="122"/>
      <c r="Q68" s="104"/>
    </row>
    <row r="69" spans="1:17" s="29" customFormat="1" ht="12.75">
      <c r="A69" s="49" t="s">
        <v>18</v>
      </c>
      <c r="B69" s="262" t="s">
        <v>140</v>
      </c>
      <c r="C69" s="18">
        <f>Apr20!O69</f>
        <v>0</v>
      </c>
      <c r="D69" s="97">
        <f>Apr20!P69</f>
        <v>93682852.88</v>
      </c>
      <c r="E69" s="27"/>
      <c r="F69" s="28"/>
      <c r="G69" s="27"/>
      <c r="H69" s="28"/>
      <c r="I69" s="27"/>
      <c r="J69" s="28"/>
      <c r="K69" s="27"/>
      <c r="L69" s="28"/>
      <c r="M69" s="27"/>
      <c r="N69" s="28"/>
      <c r="O69" s="484"/>
      <c r="P69" s="122">
        <f>D69+F69+J69+N69+H69-E69-G69-I69-M69+L69-K69</f>
        <v>93682852.88</v>
      </c>
      <c r="Q69" s="112"/>
    </row>
    <row r="70" spans="1:17" s="29" customFormat="1" ht="13.5" customHeight="1">
      <c r="A70" s="49" t="s">
        <v>142</v>
      </c>
      <c r="B70" s="249" t="s">
        <v>141</v>
      </c>
      <c r="C70" s="18">
        <f>Apr20!O70</f>
        <v>0</v>
      </c>
      <c r="D70" s="10">
        <f>Apr20!P70</f>
        <v>62230807.08</v>
      </c>
      <c r="E70" s="27"/>
      <c r="F70" s="28"/>
      <c r="G70" s="27"/>
      <c r="H70" s="28"/>
      <c r="I70" s="27"/>
      <c r="J70" s="28"/>
      <c r="K70" s="27"/>
      <c r="L70" s="28"/>
      <c r="M70" s="27"/>
      <c r="N70" s="28">
        <v>164869.94</v>
      </c>
      <c r="O70" s="484"/>
      <c r="P70" s="122">
        <f>D70+F70+J70+N70+H70-E70-G70-I70-M70+L70-K70</f>
        <v>62395677.019999996</v>
      </c>
      <c r="Q70" s="104"/>
    </row>
    <row r="71" spans="1:17" s="29" customFormat="1" ht="13.5" customHeight="1">
      <c r="A71" s="49" t="s">
        <v>673</v>
      </c>
      <c r="B71" s="249" t="s">
        <v>745</v>
      </c>
      <c r="C71" s="18">
        <f>Apr20!O71</f>
        <v>0</v>
      </c>
      <c r="D71" s="97">
        <f>Apr20!P71</f>
        <v>20208708.35</v>
      </c>
      <c r="E71" s="27"/>
      <c r="F71" s="28"/>
      <c r="G71" s="27"/>
      <c r="H71" s="28"/>
      <c r="I71" s="27"/>
      <c r="J71" s="28"/>
      <c r="K71" s="27"/>
      <c r="L71" s="28"/>
      <c r="M71" s="27"/>
      <c r="N71" s="28"/>
      <c r="O71" s="484"/>
      <c r="P71" s="122">
        <f>D71+F71+J71+N71+H71-E71-G71-I71-M71+L71-K71</f>
        <v>20208708.35</v>
      </c>
      <c r="Q71" s="527"/>
    </row>
    <row r="72" spans="1:17" s="29" customFormat="1" ht="12.75" customHeight="1">
      <c r="A72" s="49"/>
      <c r="B72" s="249"/>
      <c r="C72" s="18">
        <f>Apr20!O72</f>
        <v>0</v>
      </c>
      <c r="D72" s="97">
        <f>Apr20!P72</f>
        <v>0</v>
      </c>
      <c r="E72" s="27"/>
      <c r="F72" s="28"/>
      <c r="G72" s="27"/>
      <c r="H72" s="28"/>
      <c r="I72" s="27"/>
      <c r="J72" s="28"/>
      <c r="K72" s="27"/>
      <c r="L72" s="28"/>
      <c r="M72" s="27"/>
      <c r="N72" s="28"/>
      <c r="O72" s="484">
        <f t="shared" si="0"/>
        <v>0</v>
      </c>
      <c r="P72" s="62"/>
      <c r="Q72" s="104"/>
    </row>
    <row r="73" spans="1:17" s="29" customFormat="1" ht="12.75">
      <c r="A73" s="4" t="s">
        <v>19</v>
      </c>
      <c r="B73" s="248"/>
      <c r="C73" s="18">
        <f>Apr20!O73</f>
        <v>0</v>
      </c>
      <c r="D73" s="10">
        <f>Apr20!P73</f>
        <v>0</v>
      </c>
      <c r="E73" s="27"/>
      <c r="F73" s="28"/>
      <c r="G73" s="27"/>
      <c r="H73" s="28"/>
      <c r="I73" s="27"/>
      <c r="J73" s="28"/>
      <c r="K73" s="27"/>
      <c r="L73" s="28"/>
      <c r="M73" s="27"/>
      <c r="N73" s="28"/>
      <c r="O73" s="484">
        <f t="shared" si="0"/>
        <v>0</v>
      </c>
      <c r="P73" s="62"/>
      <c r="Q73" s="104"/>
    </row>
    <row r="74" spans="1:17" s="29" customFormat="1" ht="12.75">
      <c r="A74" s="23" t="s">
        <v>143</v>
      </c>
      <c r="B74" s="265" t="s">
        <v>144</v>
      </c>
      <c r="C74" s="18">
        <f>Apr20!O74</f>
        <v>4772747.75</v>
      </c>
      <c r="D74" s="97">
        <f>Apr20!P74</f>
        <v>0</v>
      </c>
      <c r="E74" s="27">
        <v>1825801.03</v>
      </c>
      <c r="F74" s="28"/>
      <c r="G74" s="27"/>
      <c r="H74" s="28"/>
      <c r="I74" s="27"/>
      <c r="J74" s="28"/>
      <c r="K74" s="27"/>
      <c r="L74" s="28"/>
      <c r="M74" s="27"/>
      <c r="N74" s="28"/>
      <c r="O74" s="484">
        <f t="shared" si="0"/>
        <v>6598548.78</v>
      </c>
      <c r="P74" s="62"/>
      <c r="Q74" s="104"/>
    </row>
    <row r="75" spans="1:17" s="29" customFormat="1" ht="12.75">
      <c r="A75" s="23" t="s">
        <v>20</v>
      </c>
      <c r="B75" s="265" t="s">
        <v>145</v>
      </c>
      <c r="C75" s="18">
        <f>Apr20!O75</f>
        <v>166000</v>
      </c>
      <c r="D75" s="97">
        <f>Apr20!P75</f>
        <v>0</v>
      </c>
      <c r="E75" s="27">
        <v>52000</v>
      </c>
      <c r="F75" s="28"/>
      <c r="G75" s="27"/>
      <c r="H75" s="28"/>
      <c r="I75" s="27"/>
      <c r="J75" s="28"/>
      <c r="K75" s="27"/>
      <c r="L75" s="28"/>
      <c r="M75" s="27"/>
      <c r="N75" s="28"/>
      <c r="O75" s="484">
        <f t="shared" si="0"/>
        <v>218000</v>
      </c>
      <c r="P75" s="62"/>
      <c r="Q75" s="104"/>
    </row>
    <row r="76" spans="1:17" s="29" customFormat="1" ht="12.75">
      <c r="A76" s="23" t="s">
        <v>21</v>
      </c>
      <c r="B76" s="265" t="s">
        <v>146</v>
      </c>
      <c r="C76" s="18">
        <f>Apr20!O76</f>
        <v>76000</v>
      </c>
      <c r="D76" s="10">
        <f>Apr20!P76</f>
        <v>0</v>
      </c>
      <c r="E76" s="27">
        <v>19000</v>
      </c>
      <c r="F76" s="28"/>
      <c r="G76" s="27"/>
      <c r="H76" s="28"/>
      <c r="I76" s="27"/>
      <c r="J76" s="28"/>
      <c r="K76" s="27"/>
      <c r="L76" s="28"/>
      <c r="M76" s="27"/>
      <c r="N76" s="28"/>
      <c r="O76" s="484">
        <f t="shared" si="0"/>
        <v>95000</v>
      </c>
      <c r="P76" s="62"/>
      <c r="Q76" s="104"/>
    </row>
    <row r="77" spans="1:17" s="29" customFormat="1" ht="12.75">
      <c r="A77" s="23" t="s">
        <v>22</v>
      </c>
      <c r="B77" s="265" t="s">
        <v>147</v>
      </c>
      <c r="C77" s="18">
        <f>Apr20!O77</f>
        <v>76000</v>
      </c>
      <c r="D77" s="97">
        <f>Apr20!P77</f>
        <v>0</v>
      </c>
      <c r="E77" s="27">
        <v>19000</v>
      </c>
      <c r="F77" s="28"/>
      <c r="G77" s="27"/>
      <c r="H77" s="28"/>
      <c r="I77" s="27"/>
      <c r="J77" s="28"/>
      <c r="K77" s="27"/>
      <c r="L77" s="28"/>
      <c r="M77" s="27"/>
      <c r="N77" s="28"/>
      <c r="O77" s="484">
        <f t="shared" si="0"/>
        <v>95000</v>
      </c>
      <c r="P77" s="62"/>
      <c r="Q77" s="104"/>
    </row>
    <row r="78" spans="1:17" s="29" customFormat="1" ht="12.75">
      <c r="A78" s="23" t="s">
        <v>67</v>
      </c>
      <c r="B78" s="265" t="s">
        <v>527</v>
      </c>
      <c r="C78" s="18">
        <f>Apr20!O78</f>
        <v>0</v>
      </c>
      <c r="D78" s="97">
        <f>Apr20!P78</f>
        <v>0</v>
      </c>
      <c r="E78" s="27">
        <v>6000</v>
      </c>
      <c r="F78" s="28"/>
      <c r="G78" s="27"/>
      <c r="H78" s="28"/>
      <c r="I78" s="27"/>
      <c r="J78" s="28"/>
      <c r="K78" s="27"/>
      <c r="L78" s="28"/>
      <c r="M78" s="27"/>
      <c r="N78" s="28"/>
      <c r="O78" s="484">
        <f t="shared" si="0"/>
        <v>6000</v>
      </c>
      <c r="P78" s="62"/>
      <c r="Q78" s="112"/>
    </row>
    <row r="79" spans="1:17" s="29" customFormat="1" ht="12.75" hidden="1">
      <c r="A79" s="23" t="s">
        <v>149</v>
      </c>
      <c r="B79" s="265" t="s">
        <v>148</v>
      </c>
      <c r="C79" s="18">
        <f>Apr20!O79</f>
        <v>0</v>
      </c>
      <c r="D79" s="10">
        <f>Apr20!P79</f>
        <v>0</v>
      </c>
      <c r="E79" s="27"/>
      <c r="F79" s="28"/>
      <c r="G79" s="27"/>
      <c r="H79" s="28"/>
      <c r="I79" s="27"/>
      <c r="J79" s="28"/>
      <c r="K79" s="27"/>
      <c r="L79" s="28"/>
      <c r="M79" s="27"/>
      <c r="N79" s="28"/>
      <c r="O79" s="484">
        <f t="shared" si="0"/>
        <v>0</v>
      </c>
      <c r="P79" s="62"/>
      <c r="Q79" s="104"/>
    </row>
    <row r="80" spans="1:17" s="29" customFormat="1" ht="12.75" customHeight="1" hidden="1">
      <c r="A80" s="23" t="s">
        <v>66</v>
      </c>
      <c r="B80" s="265" t="s">
        <v>150</v>
      </c>
      <c r="C80" s="18">
        <f>Apr20!O80</f>
        <v>0</v>
      </c>
      <c r="D80" s="97">
        <f>Apr20!P80</f>
        <v>0</v>
      </c>
      <c r="E80" s="27"/>
      <c r="F80" s="28"/>
      <c r="G80" s="27"/>
      <c r="H80" s="28"/>
      <c r="I80" s="27"/>
      <c r="J80" s="28"/>
      <c r="K80" s="27"/>
      <c r="L80" s="28"/>
      <c r="M80" s="27"/>
      <c r="N80" s="28"/>
      <c r="O80" s="484">
        <f t="shared" si="0"/>
        <v>0</v>
      </c>
      <c r="P80" s="62"/>
      <c r="Q80" s="104"/>
    </row>
    <row r="81" spans="1:17" s="29" customFormat="1" ht="12.75" hidden="1">
      <c r="A81" s="23" t="s">
        <v>221</v>
      </c>
      <c r="B81" s="265" t="s">
        <v>537</v>
      </c>
      <c r="C81" s="18">
        <f>Apr20!O81</f>
        <v>0</v>
      </c>
      <c r="D81" s="97">
        <f>Apr20!P81</f>
        <v>0</v>
      </c>
      <c r="E81" s="27"/>
      <c r="F81" s="28"/>
      <c r="G81" s="27"/>
      <c r="H81" s="28"/>
      <c r="I81" s="27"/>
      <c r="J81" s="28"/>
      <c r="K81" s="27"/>
      <c r="L81" s="28"/>
      <c r="M81" s="27"/>
      <c r="N81" s="28"/>
      <c r="O81" s="484">
        <f t="shared" si="0"/>
        <v>0</v>
      </c>
      <c r="P81" s="62"/>
      <c r="Q81" s="104"/>
    </row>
    <row r="82" spans="1:17" s="29" customFormat="1" ht="12.75">
      <c r="A82" s="23" t="s">
        <v>76</v>
      </c>
      <c r="B82" s="265" t="s">
        <v>153</v>
      </c>
      <c r="C82" s="18">
        <f>Apr20!O82</f>
        <v>0</v>
      </c>
      <c r="D82" s="10">
        <f>Apr20!P82</f>
        <v>0</v>
      </c>
      <c r="E82" s="27"/>
      <c r="F82" s="28"/>
      <c r="G82" s="27"/>
      <c r="H82" s="28"/>
      <c r="I82" s="27"/>
      <c r="J82" s="28"/>
      <c r="K82" s="27"/>
      <c r="L82" s="28"/>
      <c r="M82" s="27"/>
      <c r="N82" s="28"/>
      <c r="O82" s="484">
        <f t="shared" si="0"/>
        <v>0</v>
      </c>
      <c r="P82" s="62"/>
      <c r="Q82" s="104"/>
    </row>
    <row r="83" spans="1:17" s="29" customFormat="1" ht="13.5" customHeight="1" hidden="1">
      <c r="A83" s="23" t="s">
        <v>242</v>
      </c>
      <c r="B83" s="265" t="s">
        <v>234</v>
      </c>
      <c r="C83" s="18">
        <f>Apr20!O83</f>
        <v>0</v>
      </c>
      <c r="D83" s="97">
        <f>Apr20!P83</f>
        <v>0</v>
      </c>
      <c r="E83" s="27"/>
      <c r="F83" s="28"/>
      <c r="G83" s="27"/>
      <c r="H83" s="28"/>
      <c r="I83" s="27"/>
      <c r="J83" s="28"/>
      <c r="K83" s="27"/>
      <c r="L83" s="28"/>
      <c r="M83" s="27"/>
      <c r="N83" s="28"/>
      <c r="O83" s="484">
        <f t="shared" si="0"/>
        <v>0</v>
      </c>
      <c r="P83" s="62"/>
      <c r="Q83" s="104"/>
    </row>
    <row r="84" spans="1:17" s="29" customFormat="1" ht="12.75" hidden="1">
      <c r="A84" s="23" t="s">
        <v>75</v>
      </c>
      <c r="B84" s="265" t="s">
        <v>152</v>
      </c>
      <c r="C84" s="18">
        <f>Apr20!O84</f>
        <v>0</v>
      </c>
      <c r="D84" s="97">
        <f>Apr20!P84</f>
        <v>0</v>
      </c>
      <c r="E84" s="27"/>
      <c r="F84" s="28"/>
      <c r="G84" s="27"/>
      <c r="H84" s="28"/>
      <c r="I84" s="27"/>
      <c r="J84" s="28"/>
      <c r="K84" s="27"/>
      <c r="L84" s="28"/>
      <c r="M84" s="27"/>
      <c r="N84" s="28"/>
      <c r="O84" s="484">
        <f t="shared" si="0"/>
        <v>0</v>
      </c>
      <c r="P84" s="62"/>
      <c r="Q84" s="104"/>
    </row>
    <row r="85" spans="1:17" s="29" customFormat="1" ht="12.75" hidden="1">
      <c r="A85" s="23" t="s">
        <v>70</v>
      </c>
      <c r="B85" s="265" t="s">
        <v>151</v>
      </c>
      <c r="C85" s="18">
        <f>Apr20!O85</f>
        <v>0</v>
      </c>
      <c r="D85" s="10">
        <f>Apr20!P85</f>
        <v>0</v>
      </c>
      <c r="E85" s="27"/>
      <c r="F85" s="28"/>
      <c r="G85" s="27"/>
      <c r="H85" s="28"/>
      <c r="I85" s="27"/>
      <c r="J85" s="28"/>
      <c r="K85" s="27"/>
      <c r="L85" s="28"/>
      <c r="M85" s="27"/>
      <c r="N85" s="28"/>
      <c r="O85" s="484">
        <f t="shared" si="0"/>
        <v>0</v>
      </c>
      <c r="P85" s="62"/>
      <c r="Q85" s="104"/>
    </row>
    <row r="86" spans="1:17" s="29" customFormat="1" ht="12.75">
      <c r="A86" s="23" t="s">
        <v>562</v>
      </c>
      <c r="B86" s="265" t="s">
        <v>563</v>
      </c>
      <c r="C86" s="18">
        <f>Apr20!O86</f>
        <v>193000</v>
      </c>
      <c r="D86" s="97">
        <f>Apr20!P86</f>
        <v>0</v>
      </c>
      <c r="E86" s="27"/>
      <c r="F86" s="28"/>
      <c r="G86" s="27"/>
      <c r="H86" s="28"/>
      <c r="I86" s="27"/>
      <c r="J86" s="28"/>
      <c r="K86" s="27"/>
      <c r="L86" s="28"/>
      <c r="M86" s="27"/>
      <c r="N86" s="28"/>
      <c r="O86" s="484">
        <f aca="true" t="shared" si="3" ref="O86:O149">C86+E86+I86+M86-D86-F86-J86-N86+G86-H86+K86-L86</f>
        <v>193000</v>
      </c>
      <c r="P86" s="62"/>
      <c r="Q86" s="112"/>
    </row>
    <row r="87" spans="1:17" s="29" customFormat="1" ht="12.75">
      <c r="A87" s="23" t="s">
        <v>564</v>
      </c>
      <c r="B87" s="265" t="s">
        <v>565</v>
      </c>
      <c r="C87" s="18">
        <f>Apr20!O87</f>
        <v>0</v>
      </c>
      <c r="D87" s="97">
        <f>Apr20!P87</f>
        <v>0</v>
      </c>
      <c r="E87" s="27"/>
      <c r="F87" s="28"/>
      <c r="G87" s="27"/>
      <c r="H87" s="28"/>
      <c r="I87" s="27"/>
      <c r="J87" s="28"/>
      <c r="K87" s="27"/>
      <c r="L87" s="28"/>
      <c r="M87" s="27"/>
      <c r="N87" s="28"/>
      <c r="O87" s="484">
        <f t="shared" si="3"/>
        <v>0</v>
      </c>
      <c r="P87" s="62"/>
      <c r="Q87" s="104"/>
    </row>
    <row r="88" spans="1:17" s="29" customFormat="1" ht="12.75">
      <c r="A88" s="23" t="s">
        <v>553</v>
      </c>
      <c r="B88" s="265" t="s">
        <v>554</v>
      </c>
      <c r="C88" s="18">
        <f>Apr20!O88</f>
        <v>0</v>
      </c>
      <c r="D88" s="10">
        <f>Apr20!P88</f>
        <v>0</v>
      </c>
      <c r="E88" s="27"/>
      <c r="F88" s="28"/>
      <c r="G88" s="27"/>
      <c r="H88" s="28"/>
      <c r="I88" s="27"/>
      <c r="J88" s="28"/>
      <c r="K88" s="27"/>
      <c r="L88" s="28"/>
      <c r="M88" s="27"/>
      <c r="N88" s="28"/>
      <c r="O88" s="484">
        <f t="shared" si="3"/>
        <v>0</v>
      </c>
      <c r="P88" s="62"/>
      <c r="Q88" s="104"/>
    </row>
    <row r="89" spans="1:17" s="29" customFormat="1" ht="12.75">
      <c r="A89" s="23" t="s">
        <v>33</v>
      </c>
      <c r="B89" s="265" t="s">
        <v>154</v>
      </c>
      <c r="C89" s="18">
        <f>Apr20!O89</f>
        <v>229515.6</v>
      </c>
      <c r="D89" s="97">
        <f>Apr20!P89</f>
        <v>0</v>
      </c>
      <c r="E89" s="27">
        <v>44582.04</v>
      </c>
      <c r="F89" s="28"/>
      <c r="G89" s="27"/>
      <c r="H89" s="28"/>
      <c r="I89" s="27"/>
      <c r="J89" s="28"/>
      <c r="K89" s="27"/>
      <c r="L89" s="28"/>
      <c r="M89" s="27"/>
      <c r="N89" s="28"/>
      <c r="O89" s="484">
        <f t="shared" si="3"/>
        <v>274097.64</v>
      </c>
      <c r="P89" s="62"/>
      <c r="Q89" s="104"/>
    </row>
    <row r="90" spans="1:17" s="29" customFormat="1" ht="12.75">
      <c r="A90" s="23" t="s">
        <v>34</v>
      </c>
      <c r="B90" s="265" t="s">
        <v>155</v>
      </c>
      <c r="C90" s="18">
        <f>Apr20!O90</f>
        <v>6169.36</v>
      </c>
      <c r="D90" s="97">
        <f>Apr20!P90</f>
        <v>0</v>
      </c>
      <c r="E90" s="27">
        <v>600</v>
      </c>
      <c r="F90" s="28"/>
      <c r="G90" s="27"/>
      <c r="H90" s="28"/>
      <c r="I90" s="27"/>
      <c r="J90" s="28"/>
      <c r="K90" s="27"/>
      <c r="L90" s="28"/>
      <c r="M90" s="27"/>
      <c r="N90" s="28"/>
      <c r="O90" s="484">
        <f t="shared" si="3"/>
        <v>6769.36</v>
      </c>
      <c r="P90" s="62"/>
      <c r="Q90" s="104"/>
    </row>
    <row r="91" spans="1:17" s="29" customFormat="1" ht="12.75">
      <c r="A91" s="23" t="s">
        <v>35</v>
      </c>
      <c r="B91" s="265" t="s">
        <v>156</v>
      </c>
      <c r="C91" s="18">
        <f>Apr20!O91</f>
        <v>50575.42</v>
      </c>
      <c r="D91" s="10">
        <f>Apr20!P91</f>
        <v>0</v>
      </c>
      <c r="E91" s="27">
        <v>16706.25</v>
      </c>
      <c r="F91" s="28"/>
      <c r="G91" s="27"/>
      <c r="H91" s="28"/>
      <c r="I91" s="27"/>
      <c r="J91" s="28"/>
      <c r="K91" s="27"/>
      <c r="L91" s="28"/>
      <c r="M91" s="27"/>
      <c r="N91" s="28"/>
      <c r="O91" s="484">
        <f t="shared" si="3"/>
        <v>67281.67</v>
      </c>
      <c r="P91" s="62"/>
      <c r="Q91" s="104"/>
    </row>
    <row r="92" spans="1:17" s="29" customFormat="1" ht="12.75">
      <c r="A92" s="23" t="s">
        <v>36</v>
      </c>
      <c r="B92" s="265" t="s">
        <v>157</v>
      </c>
      <c r="C92" s="18">
        <f>Apr20!O92</f>
        <v>3800</v>
      </c>
      <c r="D92" s="97">
        <f>Apr20!P92</f>
        <v>0</v>
      </c>
      <c r="E92" s="27">
        <v>4400</v>
      </c>
      <c r="F92" s="28"/>
      <c r="G92" s="27"/>
      <c r="H92" s="28"/>
      <c r="I92" s="27"/>
      <c r="J92" s="28"/>
      <c r="K92" s="27"/>
      <c r="L92" s="28"/>
      <c r="M92" s="27"/>
      <c r="N92" s="28"/>
      <c r="O92" s="484">
        <f t="shared" si="3"/>
        <v>8200</v>
      </c>
      <c r="P92" s="62"/>
      <c r="Q92" s="104"/>
    </row>
    <row r="93" spans="1:17" s="29" customFormat="1" ht="12.75">
      <c r="A93" s="23" t="s">
        <v>698</v>
      </c>
      <c r="B93" s="265" t="s">
        <v>699</v>
      </c>
      <c r="C93" s="18">
        <f>Apr20!O93</f>
        <v>0</v>
      </c>
      <c r="D93" s="97">
        <f>Apr20!P93</f>
        <v>0</v>
      </c>
      <c r="E93" s="27"/>
      <c r="F93" s="28"/>
      <c r="G93" s="27"/>
      <c r="H93" s="28"/>
      <c r="I93" s="27"/>
      <c r="J93" s="28"/>
      <c r="K93" s="27"/>
      <c r="L93" s="28"/>
      <c r="M93" s="27"/>
      <c r="N93" s="28"/>
      <c r="O93" s="484">
        <f t="shared" si="3"/>
        <v>0</v>
      </c>
      <c r="P93" s="62"/>
      <c r="Q93" s="275"/>
    </row>
    <row r="94" spans="1:17" s="29" customFormat="1" ht="12.75">
      <c r="A94" s="23" t="s">
        <v>208</v>
      </c>
      <c r="B94" s="265" t="s">
        <v>207</v>
      </c>
      <c r="C94" s="18">
        <f>Apr20!O94</f>
        <v>10000</v>
      </c>
      <c r="D94" s="10">
        <f>Apr20!P94</f>
        <v>0</v>
      </c>
      <c r="E94" s="27">
        <v>1295914</v>
      </c>
      <c r="F94" s="28"/>
      <c r="G94" s="27"/>
      <c r="H94" s="28"/>
      <c r="I94" s="27"/>
      <c r="J94" s="28"/>
      <c r="K94" s="27"/>
      <c r="L94" s="28"/>
      <c r="M94" s="27"/>
      <c r="N94" s="28"/>
      <c r="O94" s="484">
        <f t="shared" si="3"/>
        <v>1305914</v>
      </c>
      <c r="P94" s="62"/>
      <c r="Q94" s="275"/>
    </row>
    <row r="95" spans="1:17" s="29" customFormat="1" ht="12.75">
      <c r="A95" s="23" t="s">
        <v>719</v>
      </c>
      <c r="B95" s="265" t="s">
        <v>720</v>
      </c>
      <c r="C95" s="18">
        <f>Apr20!O95</f>
        <v>755292</v>
      </c>
      <c r="D95" s="97">
        <f>Apr20!P95</f>
        <v>0</v>
      </c>
      <c r="E95" s="27"/>
      <c r="F95" s="28"/>
      <c r="G95" s="27"/>
      <c r="H95" s="28"/>
      <c r="I95" s="27"/>
      <c r="J95" s="28"/>
      <c r="K95" s="27"/>
      <c r="L95" s="28"/>
      <c r="M95" s="27"/>
      <c r="N95" s="28"/>
      <c r="O95" s="484">
        <f t="shared" si="3"/>
        <v>755292</v>
      </c>
      <c r="P95" s="62"/>
      <c r="Q95" s="275"/>
    </row>
    <row r="96" spans="1:17" s="29" customFormat="1" ht="12.75">
      <c r="A96" s="23" t="s">
        <v>28</v>
      </c>
      <c r="B96" s="265" t="s">
        <v>158</v>
      </c>
      <c r="C96" s="18">
        <f>Apr20!O96</f>
        <v>473029.66000000003</v>
      </c>
      <c r="D96" s="97">
        <f>Apr20!P96</f>
        <v>0</v>
      </c>
      <c r="E96" s="27">
        <v>44724</v>
      </c>
      <c r="F96" s="28"/>
      <c r="G96" s="27"/>
      <c r="H96" s="28"/>
      <c r="I96" s="27"/>
      <c r="J96" s="28"/>
      <c r="K96" s="27"/>
      <c r="L96" s="28"/>
      <c r="M96" s="27"/>
      <c r="N96" s="28"/>
      <c r="O96" s="484">
        <f t="shared" si="3"/>
        <v>517753.66000000003</v>
      </c>
      <c r="P96" s="62"/>
      <c r="Q96" s="275"/>
    </row>
    <row r="97" spans="1:17" s="29" customFormat="1" ht="12.75">
      <c r="A97" s="23" t="s">
        <v>243</v>
      </c>
      <c r="B97" s="265" t="s">
        <v>236</v>
      </c>
      <c r="C97" s="18">
        <f>Apr20!O97</f>
        <v>0</v>
      </c>
      <c r="D97" s="10">
        <f>Apr20!P97</f>
        <v>0</v>
      </c>
      <c r="E97" s="27"/>
      <c r="F97" s="28"/>
      <c r="G97" s="27"/>
      <c r="H97" s="28"/>
      <c r="I97" s="27"/>
      <c r="J97" s="28"/>
      <c r="K97" s="27"/>
      <c r="L97" s="28"/>
      <c r="M97" s="27"/>
      <c r="N97" s="28"/>
      <c r="O97" s="484">
        <f t="shared" si="3"/>
        <v>0</v>
      </c>
      <c r="P97" s="62"/>
      <c r="Q97" s="275"/>
    </row>
    <row r="98" spans="1:17" s="29" customFormat="1" ht="12.75">
      <c r="A98" s="23" t="s">
        <v>27</v>
      </c>
      <c r="B98" s="265" t="s">
        <v>159</v>
      </c>
      <c r="C98" s="18">
        <f>Apr20!O98</f>
        <v>918281.25</v>
      </c>
      <c r="D98" s="97">
        <f>Apr20!P98</f>
        <v>0</v>
      </c>
      <c r="E98" s="27">
        <v>1122396</v>
      </c>
      <c r="F98" s="28"/>
      <c r="G98" s="27"/>
      <c r="H98" s="28"/>
      <c r="I98" s="27"/>
      <c r="J98" s="28"/>
      <c r="K98" s="27"/>
      <c r="L98" s="28"/>
      <c r="M98" s="27"/>
      <c r="N98" s="28"/>
      <c r="O98" s="484">
        <f t="shared" si="3"/>
        <v>2040677.25</v>
      </c>
      <c r="P98" s="62"/>
      <c r="Q98" s="275"/>
    </row>
    <row r="99" spans="1:17" s="29" customFormat="1" ht="12.75">
      <c r="A99" s="23" t="s">
        <v>160</v>
      </c>
      <c r="B99" s="265" t="s">
        <v>161</v>
      </c>
      <c r="C99" s="18">
        <f>Apr20!O99</f>
        <v>0</v>
      </c>
      <c r="D99" s="97">
        <f>Apr20!P99</f>
        <v>0</v>
      </c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484">
        <f t="shared" si="3"/>
        <v>0</v>
      </c>
      <c r="P99" s="62"/>
      <c r="Q99" s="275"/>
    </row>
    <row r="100" spans="1:17" s="29" customFormat="1" ht="12.75">
      <c r="A100" s="23" t="s">
        <v>61</v>
      </c>
      <c r="B100" s="265" t="s">
        <v>162</v>
      </c>
      <c r="C100" s="18">
        <f>Apr20!O100</f>
        <v>5800.25</v>
      </c>
      <c r="D100" s="10">
        <f>Apr20!P100</f>
        <v>0</v>
      </c>
      <c r="E100" s="27"/>
      <c r="F100" s="28"/>
      <c r="G100" s="27"/>
      <c r="H100" s="28"/>
      <c r="I100" s="27"/>
      <c r="J100" s="28"/>
      <c r="K100" s="27"/>
      <c r="L100" s="28"/>
      <c r="M100" s="27"/>
      <c r="N100" s="28"/>
      <c r="O100" s="484">
        <f t="shared" si="3"/>
        <v>5800.25</v>
      </c>
      <c r="P100" s="62"/>
      <c r="Q100" s="275"/>
    </row>
    <row r="101" spans="1:17" s="29" customFormat="1" ht="12.75">
      <c r="A101" s="23" t="s">
        <v>56</v>
      </c>
      <c r="B101" s="265" t="s">
        <v>163</v>
      </c>
      <c r="C101" s="18">
        <f>Apr20!O101</f>
        <v>0</v>
      </c>
      <c r="D101" s="97">
        <f>Apr20!P101</f>
        <v>0</v>
      </c>
      <c r="E101" s="27"/>
      <c r="F101" s="28"/>
      <c r="G101" s="27"/>
      <c r="H101" s="28"/>
      <c r="I101" s="27"/>
      <c r="J101" s="28"/>
      <c r="K101" s="27"/>
      <c r="L101" s="28"/>
      <c r="M101" s="27"/>
      <c r="N101" s="28"/>
      <c r="O101" s="484">
        <f t="shared" si="3"/>
        <v>0</v>
      </c>
      <c r="P101" s="62"/>
      <c r="Q101" s="275"/>
    </row>
    <row r="102" spans="1:17" s="29" customFormat="1" ht="12.75">
      <c r="A102" s="23" t="s">
        <v>217</v>
      </c>
      <c r="B102" s="265" t="s">
        <v>218</v>
      </c>
      <c r="C102" s="18">
        <f>Apr20!O102</f>
        <v>0</v>
      </c>
      <c r="D102" s="97">
        <f>Apr20!P102</f>
        <v>0</v>
      </c>
      <c r="E102" s="27"/>
      <c r="F102" s="28"/>
      <c r="G102" s="27"/>
      <c r="H102" s="28"/>
      <c r="I102" s="27"/>
      <c r="J102" s="28"/>
      <c r="K102" s="27"/>
      <c r="L102" s="28"/>
      <c r="M102" s="27"/>
      <c r="N102" s="28"/>
      <c r="O102" s="484">
        <f t="shared" si="3"/>
        <v>0</v>
      </c>
      <c r="P102" s="62"/>
      <c r="Q102" s="275"/>
    </row>
    <row r="103" spans="1:17" s="29" customFormat="1" ht="12.75">
      <c r="A103" s="23" t="s">
        <v>164</v>
      </c>
      <c r="B103" s="265" t="s">
        <v>165</v>
      </c>
      <c r="C103" s="18">
        <f>Apr20!O103</f>
        <v>11025</v>
      </c>
      <c r="D103" s="10">
        <f>Apr20!P103</f>
        <v>0</v>
      </c>
      <c r="E103" s="27"/>
      <c r="F103" s="28"/>
      <c r="G103" s="27"/>
      <c r="H103" s="28"/>
      <c r="I103" s="27"/>
      <c r="J103" s="28"/>
      <c r="K103" s="27"/>
      <c r="L103" s="28"/>
      <c r="M103" s="27"/>
      <c r="N103" s="28"/>
      <c r="O103" s="484">
        <f t="shared" si="3"/>
        <v>11025</v>
      </c>
      <c r="P103" s="62"/>
      <c r="Q103" s="275"/>
    </row>
    <row r="104" spans="1:17" s="29" customFormat="1" ht="12.75">
      <c r="A104" s="23" t="s">
        <v>570</v>
      </c>
      <c r="B104" s="265" t="s">
        <v>556</v>
      </c>
      <c r="C104" s="18">
        <f>Apr20!O104</f>
        <v>0</v>
      </c>
      <c r="D104" s="97">
        <f>Apr20!P104</f>
        <v>0</v>
      </c>
      <c r="E104" s="27"/>
      <c r="F104" s="28"/>
      <c r="G104" s="27"/>
      <c r="H104" s="28"/>
      <c r="I104" s="27"/>
      <c r="J104" s="28"/>
      <c r="K104" s="27"/>
      <c r="L104" s="28"/>
      <c r="M104" s="27"/>
      <c r="N104" s="28"/>
      <c r="O104" s="484">
        <f t="shared" si="3"/>
        <v>0</v>
      </c>
      <c r="P104" s="62"/>
      <c r="Q104" s="275"/>
    </row>
    <row r="105" spans="1:17" s="29" customFormat="1" ht="12.75">
      <c r="A105" s="23" t="s">
        <v>535</v>
      </c>
      <c r="B105" s="265" t="s">
        <v>521</v>
      </c>
      <c r="C105" s="18">
        <f>Apr20!O105</f>
        <v>0</v>
      </c>
      <c r="D105" s="97">
        <f>Apr20!P105</f>
        <v>0</v>
      </c>
      <c r="E105" s="27"/>
      <c r="F105" s="28"/>
      <c r="G105" s="27"/>
      <c r="H105" s="28"/>
      <c r="I105" s="27"/>
      <c r="J105" s="28"/>
      <c r="K105" s="27"/>
      <c r="L105" s="28"/>
      <c r="M105" s="27"/>
      <c r="N105" s="28"/>
      <c r="O105" s="484">
        <f t="shared" si="3"/>
        <v>0</v>
      </c>
      <c r="P105" s="62"/>
      <c r="Q105" s="275"/>
    </row>
    <row r="106" spans="1:17" s="29" customFormat="1" ht="12.75">
      <c r="A106" s="23" t="s">
        <v>536</v>
      </c>
      <c r="B106" s="265" t="s">
        <v>522</v>
      </c>
      <c r="C106" s="18">
        <f>Apr20!O106</f>
        <v>0</v>
      </c>
      <c r="D106" s="10">
        <f>Apr20!P106</f>
        <v>0</v>
      </c>
      <c r="E106" s="27"/>
      <c r="F106" s="28"/>
      <c r="G106" s="27"/>
      <c r="H106" s="28"/>
      <c r="I106" s="27"/>
      <c r="J106" s="28"/>
      <c r="K106" s="27"/>
      <c r="L106" s="28"/>
      <c r="M106" s="27"/>
      <c r="N106" s="28"/>
      <c r="O106" s="484">
        <f t="shared" si="3"/>
        <v>0</v>
      </c>
      <c r="P106" s="62"/>
      <c r="Q106" s="275"/>
    </row>
    <row r="107" spans="1:17" s="29" customFormat="1" ht="12.75">
      <c r="A107" s="23" t="s">
        <v>571</v>
      </c>
      <c r="B107" s="265" t="s">
        <v>572</v>
      </c>
      <c r="C107" s="18">
        <f>Apr20!O107</f>
        <v>0</v>
      </c>
      <c r="D107" s="97">
        <f>Apr20!P107</f>
        <v>0</v>
      </c>
      <c r="E107" s="27"/>
      <c r="F107" s="28"/>
      <c r="G107" s="27"/>
      <c r="H107" s="28"/>
      <c r="I107" s="27"/>
      <c r="J107" s="28"/>
      <c r="K107" s="27"/>
      <c r="L107" s="28"/>
      <c r="M107" s="27"/>
      <c r="N107" s="28"/>
      <c r="O107" s="484">
        <f t="shared" si="3"/>
        <v>0</v>
      </c>
      <c r="P107" s="62"/>
      <c r="Q107" s="275"/>
    </row>
    <row r="108" spans="1:17" s="29" customFormat="1" ht="12.75">
      <c r="A108" s="23" t="s">
        <v>573</v>
      </c>
      <c r="B108" s="265" t="s">
        <v>557</v>
      </c>
      <c r="C108" s="18">
        <f>Apr20!O108</f>
        <v>0</v>
      </c>
      <c r="D108" s="97">
        <f>Apr20!P108</f>
        <v>0</v>
      </c>
      <c r="E108" s="27"/>
      <c r="F108" s="28"/>
      <c r="G108" s="27"/>
      <c r="H108" s="28"/>
      <c r="I108" s="27"/>
      <c r="J108" s="28"/>
      <c r="K108" s="27"/>
      <c r="L108" s="28"/>
      <c r="M108" s="27"/>
      <c r="N108" s="28"/>
      <c r="O108" s="484">
        <f t="shared" si="3"/>
        <v>0</v>
      </c>
      <c r="P108" s="62"/>
      <c r="Q108" s="275"/>
    </row>
    <row r="109" spans="1:17" s="29" customFormat="1" ht="12.75">
      <c r="A109" s="23" t="s">
        <v>241</v>
      </c>
      <c r="B109" s="265" t="s">
        <v>235</v>
      </c>
      <c r="C109" s="18">
        <f>Apr20!O109</f>
        <v>0</v>
      </c>
      <c r="D109" s="10">
        <f>Apr20!P109</f>
        <v>0</v>
      </c>
      <c r="E109" s="27"/>
      <c r="F109" s="28"/>
      <c r="G109" s="27"/>
      <c r="H109" s="28"/>
      <c r="I109" s="27"/>
      <c r="J109" s="28"/>
      <c r="K109" s="27"/>
      <c r="L109" s="28"/>
      <c r="M109" s="27"/>
      <c r="N109" s="28"/>
      <c r="O109" s="484">
        <f t="shared" si="3"/>
        <v>0</v>
      </c>
      <c r="P109" s="62"/>
      <c r="Q109" s="275"/>
    </row>
    <row r="110" spans="1:17" s="29" customFormat="1" ht="12.75">
      <c r="A110" s="23" t="s">
        <v>166</v>
      </c>
      <c r="B110" s="265" t="s">
        <v>167</v>
      </c>
      <c r="C110" s="18">
        <f>Apr20!O110</f>
        <v>0</v>
      </c>
      <c r="D110" s="97">
        <f>Apr20!P110</f>
        <v>0</v>
      </c>
      <c r="E110" s="27"/>
      <c r="F110" s="28"/>
      <c r="G110" s="27"/>
      <c r="H110" s="28"/>
      <c r="I110" s="27"/>
      <c r="J110" s="28"/>
      <c r="K110" s="27"/>
      <c r="L110" s="28"/>
      <c r="M110" s="27"/>
      <c r="N110" s="28"/>
      <c r="O110" s="484">
        <f t="shared" si="3"/>
        <v>0</v>
      </c>
      <c r="P110" s="62"/>
      <c r="Q110" s="275"/>
    </row>
    <row r="111" spans="1:17" s="29" customFormat="1" ht="12.75">
      <c r="A111" s="23" t="s">
        <v>37</v>
      </c>
      <c r="B111" s="265" t="s">
        <v>168</v>
      </c>
      <c r="C111" s="18">
        <f>Apr20!O111</f>
        <v>2652.2</v>
      </c>
      <c r="D111" s="97">
        <f>Apr20!P111</f>
        <v>0</v>
      </c>
      <c r="E111" s="27"/>
      <c r="F111" s="28"/>
      <c r="G111" s="27"/>
      <c r="H111" s="28"/>
      <c r="I111" s="27"/>
      <c r="J111" s="28"/>
      <c r="K111" s="27"/>
      <c r="L111" s="28"/>
      <c r="M111" s="27"/>
      <c r="N111" s="28"/>
      <c r="O111" s="484">
        <f t="shared" si="3"/>
        <v>2652.2</v>
      </c>
      <c r="P111" s="62"/>
      <c r="Q111" s="275"/>
    </row>
    <row r="112" spans="1:17" s="29" customFormat="1" ht="12.75">
      <c r="A112" s="23" t="s">
        <v>43</v>
      </c>
      <c r="B112" s="265" t="s">
        <v>169</v>
      </c>
      <c r="C112" s="18">
        <f>Apr20!O112</f>
        <v>33271.08</v>
      </c>
      <c r="D112" s="10">
        <f>Apr20!P112</f>
        <v>0</v>
      </c>
      <c r="E112" s="27"/>
      <c r="F112" s="28"/>
      <c r="G112" s="27"/>
      <c r="H112" s="28"/>
      <c r="I112" s="27"/>
      <c r="J112" s="28"/>
      <c r="K112" s="27"/>
      <c r="L112" s="28"/>
      <c r="M112" s="27"/>
      <c r="N112" s="28"/>
      <c r="O112" s="484">
        <f t="shared" si="3"/>
        <v>33271.08</v>
      </c>
      <c r="P112" s="62"/>
      <c r="Q112" s="275"/>
    </row>
    <row r="113" spans="1:17" s="29" customFormat="1" ht="12.75">
      <c r="A113" s="23" t="s">
        <v>694</v>
      </c>
      <c r="B113" s="265" t="s">
        <v>695</v>
      </c>
      <c r="C113" s="18">
        <f>Apr20!O113</f>
        <v>0</v>
      </c>
      <c r="D113" s="97">
        <f>Apr20!P113</f>
        <v>0</v>
      </c>
      <c r="E113" s="27"/>
      <c r="F113" s="28"/>
      <c r="G113" s="27"/>
      <c r="H113" s="28"/>
      <c r="I113" s="27"/>
      <c r="J113" s="28"/>
      <c r="K113" s="27"/>
      <c r="L113" s="28"/>
      <c r="M113" s="27"/>
      <c r="N113" s="28"/>
      <c r="O113" s="484">
        <f t="shared" si="3"/>
        <v>0</v>
      </c>
      <c r="P113" s="62"/>
      <c r="Q113" s="275"/>
    </row>
    <row r="114" spans="1:17" s="29" customFormat="1" ht="12.75">
      <c r="A114" s="23" t="s">
        <v>29</v>
      </c>
      <c r="B114" s="265" t="s">
        <v>170</v>
      </c>
      <c r="C114" s="18">
        <f>Apr20!O114</f>
        <v>20696.8</v>
      </c>
      <c r="D114" s="97">
        <f>Apr20!P114</f>
        <v>0</v>
      </c>
      <c r="E114" s="27"/>
      <c r="F114" s="28"/>
      <c r="G114" s="27"/>
      <c r="H114" s="28"/>
      <c r="I114" s="27"/>
      <c r="J114" s="28"/>
      <c r="K114" s="27"/>
      <c r="L114" s="28"/>
      <c r="M114" s="27"/>
      <c r="N114" s="28"/>
      <c r="O114" s="484">
        <f t="shared" si="3"/>
        <v>20696.8</v>
      </c>
      <c r="P114" s="62"/>
      <c r="Q114" s="275"/>
    </row>
    <row r="115" spans="1:17" s="29" customFormat="1" ht="12.75">
      <c r="A115" s="23" t="s">
        <v>194</v>
      </c>
      <c r="B115" s="265" t="s">
        <v>196</v>
      </c>
      <c r="C115" s="18">
        <f>Apr20!O115</f>
        <v>34201.93</v>
      </c>
      <c r="D115" s="10">
        <f>Apr20!P115</f>
        <v>0</v>
      </c>
      <c r="E115" s="27"/>
      <c r="F115" s="28"/>
      <c r="G115" s="27"/>
      <c r="H115" s="28"/>
      <c r="I115" s="27"/>
      <c r="J115" s="28"/>
      <c r="K115" s="27"/>
      <c r="L115" s="28"/>
      <c r="M115" s="27"/>
      <c r="N115" s="28"/>
      <c r="O115" s="484">
        <f t="shared" si="3"/>
        <v>34201.93</v>
      </c>
      <c r="P115" s="62"/>
      <c r="Q115" s="275"/>
    </row>
    <row r="116" spans="1:17" s="29" customFormat="1" ht="12.75">
      <c r="A116" s="23" t="s">
        <v>195</v>
      </c>
      <c r="B116" s="265" t="s">
        <v>197</v>
      </c>
      <c r="C116" s="18">
        <f>Apr20!O116</f>
        <v>5211.15</v>
      </c>
      <c r="D116" s="97">
        <f>Apr20!P116</f>
        <v>0</v>
      </c>
      <c r="E116" s="27">
        <v>8000</v>
      </c>
      <c r="F116" s="28"/>
      <c r="G116" s="27"/>
      <c r="H116" s="28"/>
      <c r="I116" s="27"/>
      <c r="J116" s="28"/>
      <c r="K116" s="27"/>
      <c r="L116" s="28"/>
      <c r="M116" s="27"/>
      <c r="N116" s="28"/>
      <c r="O116" s="484">
        <f t="shared" si="3"/>
        <v>13211.15</v>
      </c>
      <c r="P116" s="62"/>
      <c r="Q116" s="275"/>
    </row>
    <row r="117" spans="1:17" s="29" customFormat="1" ht="12.75">
      <c r="A117" s="23" t="s">
        <v>171</v>
      </c>
      <c r="B117" s="265" t="s">
        <v>172</v>
      </c>
      <c r="C117" s="18">
        <f>Apr20!O117</f>
        <v>22444.6</v>
      </c>
      <c r="D117" s="97">
        <f>Apr20!P117</f>
        <v>0</v>
      </c>
      <c r="E117" s="27"/>
      <c r="F117" s="28"/>
      <c r="G117" s="27"/>
      <c r="H117" s="28"/>
      <c r="I117" s="27"/>
      <c r="J117" s="28"/>
      <c r="K117" s="27"/>
      <c r="L117" s="28"/>
      <c r="M117" s="27"/>
      <c r="N117" s="28"/>
      <c r="O117" s="484">
        <f t="shared" si="3"/>
        <v>22444.6</v>
      </c>
      <c r="P117" s="62"/>
      <c r="Q117" s="275"/>
    </row>
    <row r="118" spans="1:17" s="29" customFormat="1" ht="12.75">
      <c r="A118" s="23" t="s">
        <v>51</v>
      </c>
      <c r="B118" s="265" t="s">
        <v>173</v>
      </c>
      <c r="C118" s="18">
        <f>Apr20!O118</f>
        <v>300</v>
      </c>
      <c r="D118" s="10">
        <f>Apr20!P118</f>
        <v>0</v>
      </c>
      <c r="E118" s="27"/>
      <c r="F118" s="28"/>
      <c r="G118" s="27"/>
      <c r="H118" s="28"/>
      <c r="I118" s="27"/>
      <c r="J118" s="28"/>
      <c r="K118" s="27"/>
      <c r="L118" s="28"/>
      <c r="M118" s="27"/>
      <c r="N118" s="28"/>
      <c r="O118" s="484">
        <f t="shared" si="3"/>
        <v>300</v>
      </c>
      <c r="P118" s="62"/>
      <c r="Q118" s="275"/>
    </row>
    <row r="119" spans="1:17" s="29" customFormat="1" ht="12.75">
      <c r="A119" s="23" t="s">
        <v>539</v>
      </c>
      <c r="B119" s="265" t="s">
        <v>538</v>
      </c>
      <c r="C119" s="18">
        <f>Apr20!O119</f>
        <v>0</v>
      </c>
      <c r="D119" s="97">
        <f>Apr20!P119</f>
        <v>0</v>
      </c>
      <c r="E119" s="27"/>
      <c r="F119" s="28"/>
      <c r="G119" s="27"/>
      <c r="H119" s="28"/>
      <c r="I119" s="27"/>
      <c r="J119" s="28"/>
      <c r="K119" s="27"/>
      <c r="L119" s="28"/>
      <c r="M119" s="27"/>
      <c r="N119" s="28"/>
      <c r="O119" s="484">
        <f t="shared" si="3"/>
        <v>0</v>
      </c>
      <c r="P119" s="62"/>
      <c r="Q119" s="275"/>
    </row>
    <row r="120" spans="1:17" s="29" customFormat="1" ht="12.75">
      <c r="A120" s="23" t="s">
        <v>193</v>
      </c>
      <c r="B120" s="265" t="s">
        <v>190</v>
      </c>
      <c r="C120" s="18">
        <f>Apr20!O120</f>
        <v>36666.68</v>
      </c>
      <c r="D120" s="97">
        <f>Apr20!P120</f>
        <v>0</v>
      </c>
      <c r="E120" s="23">
        <v>9166.67</v>
      </c>
      <c r="F120" s="28"/>
      <c r="G120" s="27"/>
      <c r="H120" s="28"/>
      <c r="I120" s="27"/>
      <c r="J120" s="28"/>
      <c r="K120" s="27"/>
      <c r="L120" s="28"/>
      <c r="M120" s="27"/>
      <c r="N120" s="28"/>
      <c r="O120" s="484">
        <f t="shared" si="3"/>
        <v>45833.35</v>
      </c>
      <c r="P120" s="62"/>
      <c r="Q120" s="275"/>
    </row>
    <row r="121" spans="1:17" s="29" customFormat="1" ht="12.75">
      <c r="A121" s="23" t="s">
        <v>71</v>
      </c>
      <c r="B121" s="265" t="s">
        <v>178</v>
      </c>
      <c r="C121" s="18">
        <f>Apr20!O121</f>
        <v>400</v>
      </c>
      <c r="D121" s="10">
        <f>Apr20!P121</f>
        <v>0</v>
      </c>
      <c r="E121" s="27"/>
      <c r="F121" s="28"/>
      <c r="G121" s="27"/>
      <c r="H121" s="28"/>
      <c r="I121" s="27"/>
      <c r="J121" s="28"/>
      <c r="K121" s="27"/>
      <c r="L121" s="28"/>
      <c r="M121" s="27"/>
      <c r="N121" s="28"/>
      <c r="O121" s="484">
        <f t="shared" si="3"/>
        <v>400</v>
      </c>
      <c r="P121" s="62"/>
      <c r="Q121" s="275"/>
    </row>
    <row r="122" spans="1:17" s="29" customFormat="1" ht="12.75">
      <c r="A122" s="23" t="s">
        <v>30</v>
      </c>
      <c r="B122" s="265" t="s">
        <v>179</v>
      </c>
      <c r="C122" s="18">
        <f>Apr20!O122</f>
        <v>0</v>
      </c>
      <c r="D122" s="97">
        <f>Apr20!P122</f>
        <v>0</v>
      </c>
      <c r="E122" s="23"/>
      <c r="F122" s="28"/>
      <c r="G122" s="27"/>
      <c r="H122" s="28"/>
      <c r="I122" s="27"/>
      <c r="J122" s="28"/>
      <c r="K122" s="27"/>
      <c r="L122" s="28"/>
      <c r="M122" s="27"/>
      <c r="N122" s="28"/>
      <c r="O122" s="484">
        <f t="shared" si="3"/>
        <v>0</v>
      </c>
      <c r="P122" s="62"/>
      <c r="Q122" s="275"/>
    </row>
    <row r="123" spans="1:17" s="29" customFormat="1" ht="12.75">
      <c r="A123" s="23" t="s">
        <v>198</v>
      </c>
      <c r="B123" s="265" t="s">
        <v>199</v>
      </c>
      <c r="C123" s="18">
        <f>Apr20!O123</f>
        <v>0</v>
      </c>
      <c r="D123" s="97">
        <f>Apr20!P123</f>
        <v>0</v>
      </c>
      <c r="E123" s="27"/>
      <c r="F123" s="28"/>
      <c r="G123" s="27"/>
      <c r="H123" s="28"/>
      <c r="I123" s="27"/>
      <c r="J123" s="28"/>
      <c r="K123" s="27"/>
      <c r="L123" s="28"/>
      <c r="M123" s="27"/>
      <c r="N123" s="28"/>
      <c r="O123" s="484">
        <f t="shared" si="3"/>
        <v>0</v>
      </c>
      <c r="P123" s="62"/>
      <c r="Q123" s="275"/>
    </row>
    <row r="124" spans="1:17" s="29" customFormat="1" ht="12.75">
      <c r="A124" s="23" t="s">
        <v>72</v>
      </c>
      <c r="B124" s="265" t="s">
        <v>182</v>
      </c>
      <c r="C124" s="18">
        <f>Apr20!O124</f>
        <v>241237.8</v>
      </c>
      <c r="D124" s="10">
        <f>Apr20!P124</f>
        <v>0</v>
      </c>
      <c r="E124" s="27">
        <v>46090.6</v>
      </c>
      <c r="F124" s="28"/>
      <c r="G124" s="27"/>
      <c r="H124" s="28"/>
      <c r="I124" s="27"/>
      <c r="J124" s="28"/>
      <c r="K124" s="27"/>
      <c r="L124" s="28"/>
      <c r="M124" s="27"/>
      <c r="N124" s="28"/>
      <c r="O124" s="484">
        <f t="shared" si="3"/>
        <v>287328.39999999997</v>
      </c>
      <c r="P124" s="62"/>
      <c r="Q124" s="275"/>
    </row>
    <row r="125" spans="1:17" s="29" customFormat="1" ht="12.75" hidden="1">
      <c r="A125" s="23" t="s">
        <v>65</v>
      </c>
      <c r="B125" s="265" t="s">
        <v>183</v>
      </c>
      <c r="C125" s="18">
        <f>Apr20!O125</f>
        <v>0</v>
      </c>
      <c r="D125" s="97">
        <f>Apr20!P125</f>
        <v>0</v>
      </c>
      <c r="E125" s="27"/>
      <c r="F125" s="28"/>
      <c r="G125" s="27"/>
      <c r="H125" s="28"/>
      <c r="I125" s="27"/>
      <c r="J125" s="28"/>
      <c r="K125" s="27"/>
      <c r="L125" s="28"/>
      <c r="M125" s="27"/>
      <c r="N125" s="28"/>
      <c r="O125" s="484">
        <f t="shared" si="3"/>
        <v>0</v>
      </c>
      <c r="P125" s="62"/>
      <c r="Q125" s="275"/>
    </row>
    <row r="126" spans="1:17" s="29" customFormat="1" ht="12.75" hidden="1">
      <c r="A126" s="23" t="s">
        <v>180</v>
      </c>
      <c r="B126" s="265" t="s">
        <v>181</v>
      </c>
      <c r="C126" s="18">
        <f>Apr20!O126</f>
        <v>0</v>
      </c>
      <c r="D126" s="97">
        <f>Apr20!P126</f>
        <v>0</v>
      </c>
      <c r="E126" s="23"/>
      <c r="F126" s="28"/>
      <c r="G126" s="27"/>
      <c r="H126" s="28"/>
      <c r="I126" s="27"/>
      <c r="J126" s="28"/>
      <c r="K126" s="27"/>
      <c r="L126" s="28"/>
      <c r="M126" s="27"/>
      <c r="N126" s="28"/>
      <c r="O126" s="484">
        <f t="shared" si="3"/>
        <v>0</v>
      </c>
      <c r="P126" s="62"/>
      <c r="Q126" s="275"/>
    </row>
    <row r="127" spans="1:17" s="29" customFormat="1" ht="12.75" hidden="1">
      <c r="A127" s="23" t="s">
        <v>184</v>
      </c>
      <c r="B127" s="265" t="s">
        <v>185</v>
      </c>
      <c r="C127" s="18">
        <f>Apr20!O127</f>
        <v>0</v>
      </c>
      <c r="D127" s="10">
        <f>Apr20!P127</f>
        <v>0</v>
      </c>
      <c r="E127" s="27"/>
      <c r="F127" s="28"/>
      <c r="G127" s="27"/>
      <c r="H127" s="28"/>
      <c r="I127" s="27"/>
      <c r="J127" s="28"/>
      <c r="K127" s="27"/>
      <c r="L127" s="28"/>
      <c r="M127" s="27"/>
      <c r="N127" s="28"/>
      <c r="O127" s="484">
        <f t="shared" si="3"/>
        <v>0</v>
      </c>
      <c r="P127" s="62"/>
      <c r="Q127" s="275"/>
    </row>
    <row r="128" spans="1:17" s="29" customFormat="1" ht="12.75" hidden="1">
      <c r="A128" s="23" t="s">
        <v>186</v>
      </c>
      <c r="B128" s="265" t="s">
        <v>204</v>
      </c>
      <c r="C128" s="18">
        <f>Apr20!O128</f>
        <v>0</v>
      </c>
      <c r="D128" s="97">
        <f>Apr20!P128</f>
        <v>0</v>
      </c>
      <c r="E128" s="27"/>
      <c r="F128" s="28"/>
      <c r="G128" s="27"/>
      <c r="H128" s="28"/>
      <c r="I128" s="27"/>
      <c r="J128" s="28"/>
      <c r="K128" s="27"/>
      <c r="L128" s="28"/>
      <c r="M128" s="27"/>
      <c r="N128" s="28"/>
      <c r="O128" s="484">
        <f t="shared" si="3"/>
        <v>0</v>
      </c>
      <c r="P128" s="62"/>
      <c r="Q128" s="275"/>
    </row>
    <row r="129" spans="1:17" s="29" customFormat="1" ht="12.75">
      <c r="A129" s="23" t="s">
        <v>219</v>
      </c>
      <c r="B129" s="265" t="s">
        <v>205</v>
      </c>
      <c r="C129" s="18">
        <f>Apr20!O129</f>
        <v>4430</v>
      </c>
      <c r="D129" s="97">
        <f>Apr20!P129</f>
        <v>0</v>
      </c>
      <c r="E129" s="23"/>
      <c r="F129" s="28"/>
      <c r="G129" s="27"/>
      <c r="H129" s="28"/>
      <c r="I129" s="27"/>
      <c r="J129" s="28"/>
      <c r="K129" s="27"/>
      <c r="L129" s="28"/>
      <c r="M129" s="27"/>
      <c r="N129" s="28"/>
      <c r="O129" s="484">
        <f t="shared" si="3"/>
        <v>4430</v>
      </c>
      <c r="P129" s="62"/>
      <c r="Q129" s="275"/>
    </row>
    <row r="130" spans="1:17" s="29" customFormat="1" ht="12.75">
      <c r="A130" s="23" t="s">
        <v>220</v>
      </c>
      <c r="B130" s="265" t="s">
        <v>206</v>
      </c>
      <c r="C130" s="18">
        <f>Apr20!O130</f>
        <v>55510</v>
      </c>
      <c r="D130" s="10">
        <f>Apr20!P130</f>
        <v>0</v>
      </c>
      <c r="E130" s="27"/>
      <c r="F130" s="28"/>
      <c r="G130" s="27"/>
      <c r="H130" s="28"/>
      <c r="I130" s="27"/>
      <c r="J130" s="28"/>
      <c r="K130" s="27"/>
      <c r="L130" s="28"/>
      <c r="M130" s="27"/>
      <c r="N130" s="28"/>
      <c r="O130" s="484">
        <f t="shared" si="3"/>
        <v>55510</v>
      </c>
      <c r="P130" s="62"/>
      <c r="Q130" s="104"/>
    </row>
    <row r="131" spans="1:17" s="29" customFormat="1" ht="12.75">
      <c r="A131" s="23" t="s">
        <v>584</v>
      </c>
      <c r="B131" s="265" t="s">
        <v>585</v>
      </c>
      <c r="C131" s="18">
        <f>Apr20!O131</f>
        <v>0</v>
      </c>
      <c r="D131" s="97">
        <f>Apr20!P131</f>
        <v>0</v>
      </c>
      <c r="E131" s="27"/>
      <c r="F131" s="28"/>
      <c r="G131" s="27"/>
      <c r="H131" s="28"/>
      <c r="I131" s="27"/>
      <c r="J131" s="28"/>
      <c r="K131" s="27"/>
      <c r="L131" s="28"/>
      <c r="M131" s="27"/>
      <c r="N131" s="28"/>
      <c r="O131" s="484">
        <f t="shared" si="3"/>
        <v>0</v>
      </c>
      <c r="P131" s="62"/>
      <c r="Q131" s="104"/>
    </row>
    <row r="132" spans="1:17" s="29" customFormat="1" ht="12.75">
      <c r="A132" s="23" t="s">
        <v>188</v>
      </c>
      <c r="B132" s="265" t="s">
        <v>189</v>
      </c>
      <c r="C132" s="18">
        <f>Apr20!O132</f>
        <v>0</v>
      </c>
      <c r="D132" s="97">
        <f>Apr20!P132</f>
        <v>0</v>
      </c>
      <c r="E132" s="27"/>
      <c r="F132" s="28"/>
      <c r="G132" s="27"/>
      <c r="H132" s="28"/>
      <c r="I132" s="27"/>
      <c r="J132" s="28"/>
      <c r="K132" s="27"/>
      <c r="L132" s="28"/>
      <c r="M132" s="27"/>
      <c r="N132" s="28"/>
      <c r="O132" s="484">
        <f t="shared" si="3"/>
        <v>0</v>
      </c>
      <c r="P132" s="62"/>
      <c r="Q132" s="104"/>
    </row>
    <row r="133" spans="1:17" s="29" customFormat="1" ht="12.75">
      <c r="A133" s="23" t="s">
        <v>229</v>
      </c>
      <c r="B133" s="265" t="s">
        <v>227</v>
      </c>
      <c r="C133" s="18">
        <f>Apr20!O133</f>
        <v>54640</v>
      </c>
      <c r="D133" s="10">
        <f>Apr20!P133</f>
        <v>0</v>
      </c>
      <c r="E133" s="27"/>
      <c r="F133" s="28"/>
      <c r="G133" s="27"/>
      <c r="H133" s="28"/>
      <c r="I133" s="27"/>
      <c r="J133" s="28"/>
      <c r="K133" s="27"/>
      <c r="L133" s="28"/>
      <c r="M133" s="27"/>
      <c r="N133" s="28"/>
      <c r="O133" s="484">
        <f t="shared" si="3"/>
        <v>54640</v>
      </c>
      <c r="P133" s="62"/>
      <c r="Q133" s="104"/>
    </row>
    <row r="134" spans="1:17" s="29" customFormat="1" ht="12.75">
      <c r="A134" s="23" t="s">
        <v>64</v>
      </c>
      <c r="B134" s="265" t="s">
        <v>187</v>
      </c>
      <c r="C134" s="18">
        <f>Apr20!O134</f>
        <v>0</v>
      </c>
      <c r="D134" s="97">
        <f>Apr20!P134</f>
        <v>0</v>
      </c>
      <c r="E134" s="27"/>
      <c r="F134" s="28"/>
      <c r="G134" s="27"/>
      <c r="H134" s="28"/>
      <c r="I134" s="27"/>
      <c r="J134" s="28"/>
      <c r="K134" s="27"/>
      <c r="L134" s="28"/>
      <c r="M134" s="27"/>
      <c r="N134" s="28"/>
      <c r="O134" s="484">
        <f t="shared" si="3"/>
        <v>0</v>
      </c>
      <c r="P134" s="62"/>
      <c r="Q134" s="104"/>
    </row>
    <row r="135" spans="1:17" s="29" customFormat="1" ht="12.75">
      <c r="A135" s="23" t="s">
        <v>587</v>
      </c>
      <c r="B135" s="265" t="s">
        <v>586</v>
      </c>
      <c r="C135" s="18">
        <f>Apr20!O135</f>
        <v>0</v>
      </c>
      <c r="D135" s="97">
        <f>Apr20!P135</f>
        <v>0</v>
      </c>
      <c r="E135" s="27"/>
      <c r="F135" s="28"/>
      <c r="G135" s="27"/>
      <c r="H135" s="28"/>
      <c r="I135" s="27"/>
      <c r="J135" s="28"/>
      <c r="K135" s="27"/>
      <c r="L135" s="28"/>
      <c r="M135" s="27"/>
      <c r="N135" s="28"/>
      <c r="O135" s="484">
        <f t="shared" si="3"/>
        <v>0</v>
      </c>
      <c r="P135" s="62"/>
      <c r="Q135" s="104"/>
    </row>
    <row r="136" spans="1:17" s="29" customFormat="1" ht="12.75">
      <c r="A136" s="23" t="s">
        <v>233</v>
      </c>
      <c r="B136" s="265" t="s">
        <v>232</v>
      </c>
      <c r="C136" s="18">
        <f>Apr20!O136</f>
        <v>45616690.599999994</v>
      </c>
      <c r="D136" s="10">
        <f>Apr20!P136</f>
        <v>0</v>
      </c>
      <c r="E136" s="27">
        <v>3791392.12</v>
      </c>
      <c r="F136" s="28"/>
      <c r="G136" s="27"/>
      <c r="H136" s="28"/>
      <c r="I136" s="27"/>
      <c r="J136" s="28"/>
      <c r="K136" s="27"/>
      <c r="L136" s="28"/>
      <c r="M136" s="27"/>
      <c r="N136" s="28"/>
      <c r="O136" s="484">
        <f t="shared" si="3"/>
        <v>49408082.71999999</v>
      </c>
      <c r="P136" s="62"/>
      <c r="Q136" s="104"/>
    </row>
    <row r="137" spans="1:17" s="29" customFormat="1" ht="12.75" hidden="1">
      <c r="A137" s="23" t="s">
        <v>69</v>
      </c>
      <c r="B137" s="265" t="s">
        <v>191</v>
      </c>
      <c r="C137" s="18">
        <f>Apr20!O137</f>
        <v>0</v>
      </c>
      <c r="D137" s="97">
        <f>Apr20!P137</f>
        <v>0</v>
      </c>
      <c r="E137" s="27"/>
      <c r="F137" s="28"/>
      <c r="G137" s="27"/>
      <c r="H137" s="28"/>
      <c r="I137" s="27"/>
      <c r="J137" s="28"/>
      <c r="K137" s="27"/>
      <c r="L137" s="28"/>
      <c r="M137" s="27"/>
      <c r="N137" s="28"/>
      <c r="O137" s="484">
        <f t="shared" si="3"/>
        <v>0</v>
      </c>
      <c r="P137" s="62"/>
      <c r="Q137" s="104"/>
    </row>
    <row r="138" spans="1:17" s="29" customFormat="1" ht="12.75" hidden="1">
      <c r="A138" s="23" t="s">
        <v>211</v>
      </c>
      <c r="B138" s="265" t="s">
        <v>212</v>
      </c>
      <c r="C138" s="18">
        <f>Apr20!O138</f>
        <v>0</v>
      </c>
      <c r="D138" s="97">
        <f>Apr20!P138</f>
        <v>0</v>
      </c>
      <c r="E138" s="27"/>
      <c r="F138" s="28"/>
      <c r="G138" s="27"/>
      <c r="H138" s="28"/>
      <c r="I138" s="27"/>
      <c r="J138" s="28"/>
      <c r="K138" s="27"/>
      <c r="L138" s="28"/>
      <c r="M138" s="27"/>
      <c r="N138" s="28"/>
      <c r="O138" s="484">
        <f t="shared" si="3"/>
        <v>0</v>
      </c>
      <c r="P138" s="62"/>
      <c r="Q138" s="104"/>
    </row>
    <row r="139" spans="1:17" s="29" customFormat="1" ht="12.75" hidden="1">
      <c r="A139" s="23" t="s">
        <v>540</v>
      </c>
      <c r="B139" s="265" t="s">
        <v>523</v>
      </c>
      <c r="C139" s="18">
        <f>Apr20!O139</f>
        <v>0</v>
      </c>
      <c r="D139" s="10">
        <f>Apr20!P139</f>
        <v>0</v>
      </c>
      <c r="E139" s="27"/>
      <c r="F139" s="28"/>
      <c r="G139" s="27"/>
      <c r="H139" s="28"/>
      <c r="I139" s="27"/>
      <c r="J139" s="28"/>
      <c r="K139" s="27"/>
      <c r="L139" s="28"/>
      <c r="M139" s="27"/>
      <c r="N139" s="28"/>
      <c r="O139" s="484">
        <f t="shared" si="3"/>
        <v>0</v>
      </c>
      <c r="P139" s="62"/>
      <c r="Q139" s="104"/>
    </row>
    <row r="140" spans="1:17" s="29" customFormat="1" ht="12.75">
      <c r="A140" s="23" t="s">
        <v>73</v>
      </c>
      <c r="B140" s="265" t="s">
        <v>192</v>
      </c>
      <c r="C140" s="18">
        <f>Apr20!O140</f>
        <v>87903.04000000001</v>
      </c>
      <c r="D140" s="97">
        <f>Apr20!P140</f>
        <v>0</v>
      </c>
      <c r="E140" s="27">
        <v>3609.06</v>
      </c>
      <c r="F140" s="28"/>
      <c r="G140" s="27"/>
      <c r="H140" s="28"/>
      <c r="I140" s="27"/>
      <c r="J140" s="28"/>
      <c r="K140" s="27"/>
      <c r="L140" s="28"/>
      <c r="M140" s="27"/>
      <c r="N140" s="28"/>
      <c r="O140" s="484">
        <f t="shared" si="3"/>
        <v>91512.1</v>
      </c>
      <c r="P140" s="62"/>
      <c r="Q140" s="104"/>
    </row>
    <row r="141" spans="1:17" s="29" customFormat="1" ht="12.75">
      <c r="A141" s="23" t="s">
        <v>38</v>
      </c>
      <c r="B141" s="265" t="s">
        <v>175</v>
      </c>
      <c r="C141" s="18">
        <f>Apr20!O141</f>
        <v>0</v>
      </c>
      <c r="D141" s="97">
        <f>Apr20!P141</f>
        <v>0</v>
      </c>
      <c r="E141" s="113"/>
      <c r="F141" s="28"/>
      <c r="G141" s="27"/>
      <c r="H141" s="28"/>
      <c r="I141" s="27"/>
      <c r="J141" s="28"/>
      <c r="K141" s="27"/>
      <c r="L141" s="28"/>
      <c r="M141" s="27"/>
      <c r="N141" s="28"/>
      <c r="O141" s="484">
        <f t="shared" si="3"/>
        <v>0</v>
      </c>
      <c r="P141" s="62"/>
      <c r="Q141" s="104"/>
    </row>
    <row r="142" spans="1:17" s="29" customFormat="1" ht="12.75">
      <c r="A142" s="23" t="s">
        <v>62</v>
      </c>
      <c r="B142" s="265" t="s">
        <v>176</v>
      </c>
      <c r="C142" s="18">
        <f>Apr20!O142</f>
        <v>0</v>
      </c>
      <c r="D142" s="10">
        <f>Apr20!P142</f>
        <v>0</v>
      </c>
      <c r="E142" s="320"/>
      <c r="F142" s="62"/>
      <c r="G142" s="326"/>
      <c r="H142" s="62"/>
      <c r="I142" s="326"/>
      <c r="J142" s="62"/>
      <c r="K142" s="326"/>
      <c r="L142" s="62"/>
      <c r="M142" s="326"/>
      <c r="N142" s="62"/>
      <c r="O142" s="484">
        <f t="shared" si="3"/>
        <v>0</v>
      </c>
      <c r="P142" s="62"/>
      <c r="Q142" s="479"/>
    </row>
    <row r="143" spans="1:17" s="29" customFormat="1" ht="12.75">
      <c r="A143" s="23" t="s">
        <v>63</v>
      </c>
      <c r="B143" s="265" t="s">
        <v>177</v>
      </c>
      <c r="C143" s="18">
        <f>Apr20!O143</f>
        <v>1460</v>
      </c>
      <c r="D143" s="97">
        <f>Apr20!P143</f>
        <v>0</v>
      </c>
      <c r="E143" s="320"/>
      <c r="F143" s="62"/>
      <c r="G143" s="326"/>
      <c r="H143" s="62"/>
      <c r="I143" s="326"/>
      <c r="J143" s="62"/>
      <c r="K143" s="326"/>
      <c r="L143" s="62"/>
      <c r="M143" s="326"/>
      <c r="N143" s="62"/>
      <c r="O143" s="484">
        <f t="shared" si="3"/>
        <v>1460</v>
      </c>
      <c r="P143" s="62"/>
      <c r="Q143" s="479"/>
    </row>
    <row r="144" spans="1:17" s="29" customFormat="1" ht="12.75">
      <c r="A144" s="23" t="s">
        <v>560</v>
      </c>
      <c r="B144" s="265" t="s">
        <v>561</v>
      </c>
      <c r="C144" s="18">
        <f>Apr20!O144</f>
        <v>0</v>
      </c>
      <c r="D144" s="97">
        <f>Apr20!P144</f>
        <v>0</v>
      </c>
      <c r="E144" s="320"/>
      <c r="F144" s="62"/>
      <c r="G144" s="326"/>
      <c r="H144" s="62"/>
      <c r="I144" s="326"/>
      <c r="J144" s="62"/>
      <c r="K144" s="326"/>
      <c r="L144" s="62"/>
      <c r="M144" s="326"/>
      <c r="N144" s="62"/>
      <c r="O144" s="484">
        <f t="shared" si="3"/>
        <v>0</v>
      </c>
      <c r="P144" s="62"/>
      <c r="Q144" s="479"/>
    </row>
    <row r="145" spans="1:17" s="29" customFormat="1" ht="12.75">
      <c r="A145" s="23" t="s">
        <v>53</v>
      </c>
      <c r="B145" s="265" t="s">
        <v>528</v>
      </c>
      <c r="C145" s="18">
        <f>Apr20!O145</f>
        <v>0</v>
      </c>
      <c r="D145" s="10">
        <f>Apr20!P145</f>
        <v>0</v>
      </c>
      <c r="E145" s="320"/>
      <c r="F145" s="62"/>
      <c r="G145" s="326"/>
      <c r="H145" s="62"/>
      <c r="I145" s="326"/>
      <c r="J145" s="62"/>
      <c r="K145" s="326"/>
      <c r="L145" s="62"/>
      <c r="M145" s="326"/>
      <c r="N145" s="62"/>
      <c r="O145" s="484">
        <f t="shared" si="3"/>
        <v>0</v>
      </c>
      <c r="P145" s="62"/>
      <c r="Q145" s="479"/>
    </row>
    <row r="146" spans="1:17" s="29" customFormat="1" ht="12.75">
      <c r="A146" s="23" t="s">
        <v>701</v>
      </c>
      <c r="B146" s="265" t="s">
        <v>702</v>
      </c>
      <c r="C146" s="18">
        <f>Apr20!O146</f>
        <v>0</v>
      </c>
      <c r="D146" s="97">
        <f>Apr20!P146</f>
        <v>0</v>
      </c>
      <c r="E146" s="320"/>
      <c r="F146" s="62"/>
      <c r="G146" s="326"/>
      <c r="H146" s="62"/>
      <c r="I146" s="326"/>
      <c r="J146" s="62"/>
      <c r="K146" s="326"/>
      <c r="L146" s="62"/>
      <c r="M146" s="326"/>
      <c r="N146" s="62"/>
      <c r="O146" s="484">
        <f t="shared" si="3"/>
        <v>0</v>
      </c>
      <c r="P146" s="62"/>
      <c r="Q146" s="479"/>
    </row>
    <row r="147" spans="1:17" s="29" customFormat="1" ht="12.75">
      <c r="A147" s="23" t="s">
        <v>68</v>
      </c>
      <c r="B147" s="265" t="s">
        <v>174</v>
      </c>
      <c r="C147" s="18">
        <f>Apr20!O147</f>
        <v>0</v>
      </c>
      <c r="D147" s="97">
        <f>Apr20!P147</f>
        <v>0</v>
      </c>
      <c r="E147" s="320"/>
      <c r="F147" s="62"/>
      <c r="G147" s="326"/>
      <c r="H147" s="62"/>
      <c r="I147" s="326"/>
      <c r="J147" s="62"/>
      <c r="K147" s="326"/>
      <c r="L147" s="62"/>
      <c r="M147" s="326"/>
      <c r="N147" s="62"/>
      <c r="O147" s="484">
        <f t="shared" si="3"/>
        <v>0</v>
      </c>
      <c r="P147" s="62"/>
      <c r="Q147" s="479"/>
    </row>
    <row r="148" spans="1:17" s="29" customFormat="1" ht="12.75">
      <c r="A148" s="23" t="s">
        <v>244</v>
      </c>
      <c r="B148" s="265" t="s">
        <v>237</v>
      </c>
      <c r="C148" s="18">
        <f>Apr20!O148</f>
        <v>0</v>
      </c>
      <c r="D148" s="10">
        <f>Apr20!P148</f>
        <v>0</v>
      </c>
      <c r="E148" s="320"/>
      <c r="F148" s="62"/>
      <c r="G148" s="326"/>
      <c r="H148" s="62"/>
      <c r="I148" s="326"/>
      <c r="J148" s="62"/>
      <c r="K148" s="326"/>
      <c r="L148" s="62"/>
      <c r="M148" s="326"/>
      <c r="N148" s="62"/>
      <c r="O148" s="484">
        <f t="shared" si="3"/>
        <v>0</v>
      </c>
      <c r="P148" s="62"/>
      <c r="Q148" s="479"/>
    </row>
    <row r="149" spans="1:17" s="29" customFormat="1" ht="12.75">
      <c r="A149" s="23" t="s">
        <v>23</v>
      </c>
      <c r="B149" s="265" t="s">
        <v>524</v>
      </c>
      <c r="C149" s="18">
        <f>Apr20!O149</f>
        <v>370449.38</v>
      </c>
      <c r="D149" s="97">
        <f>Apr20!P149</f>
        <v>0</v>
      </c>
      <c r="E149" s="320">
        <v>29664.07</v>
      </c>
      <c r="F149" s="62"/>
      <c r="G149" s="326"/>
      <c r="H149" s="62"/>
      <c r="I149" s="326"/>
      <c r="J149" s="62"/>
      <c r="K149" s="326"/>
      <c r="L149" s="62"/>
      <c r="M149" s="326"/>
      <c r="N149" s="62"/>
      <c r="O149" s="484">
        <f t="shared" si="3"/>
        <v>400113.45</v>
      </c>
      <c r="P149" s="62"/>
      <c r="Q149" s="479"/>
    </row>
    <row r="150" spans="1:17" s="29" customFormat="1" ht="13.5" thickBot="1">
      <c r="A150" s="23" t="s">
        <v>245</v>
      </c>
      <c r="B150" s="265" t="s">
        <v>525</v>
      </c>
      <c r="C150" s="18">
        <f>Apr20!O150</f>
        <v>0</v>
      </c>
      <c r="D150" s="97">
        <f>Apr20!P150</f>
        <v>0</v>
      </c>
      <c r="E150" s="320"/>
      <c r="F150" s="62"/>
      <c r="G150" s="326"/>
      <c r="H150" s="62"/>
      <c r="I150" s="326"/>
      <c r="J150" s="62"/>
      <c r="K150" s="326"/>
      <c r="L150" s="62"/>
      <c r="M150" s="326"/>
      <c r="N150" s="62"/>
      <c r="O150" s="484">
        <f aca="true" t="shared" si="4" ref="O150:O157">C150+E150+I150+M150-D150-F150-J150-N150+G150-H150+K150-L150</f>
        <v>0</v>
      </c>
      <c r="P150" s="62"/>
      <c r="Q150" s="479"/>
    </row>
    <row r="151" spans="1:17" s="29" customFormat="1" ht="12.75" hidden="1">
      <c r="A151" s="8" t="s">
        <v>214</v>
      </c>
      <c r="B151" s="265" t="s">
        <v>574</v>
      </c>
      <c r="C151" s="18">
        <f>Apr20!O151</f>
        <v>0</v>
      </c>
      <c r="D151" s="97">
        <f>Apr20!P151</f>
        <v>0</v>
      </c>
      <c r="E151" s="320"/>
      <c r="F151" s="62"/>
      <c r="G151" s="326"/>
      <c r="H151" s="62"/>
      <c r="I151" s="326"/>
      <c r="J151" s="62"/>
      <c r="K151" s="326"/>
      <c r="L151" s="62"/>
      <c r="M151" s="326"/>
      <c r="N151" s="62"/>
      <c r="O151" s="484">
        <f t="shared" si="4"/>
        <v>0</v>
      </c>
      <c r="P151" s="62"/>
      <c r="Q151" s="479"/>
    </row>
    <row r="152" spans="1:17" s="29" customFormat="1" ht="12.75" hidden="1">
      <c r="A152" s="8" t="s">
        <v>77</v>
      </c>
      <c r="B152" s="265" t="s">
        <v>575</v>
      </c>
      <c r="C152" s="18">
        <f>Apr20!O152</f>
        <v>0</v>
      </c>
      <c r="D152" s="10">
        <f>Apr20!P152</f>
        <v>0</v>
      </c>
      <c r="E152" s="320"/>
      <c r="F152" s="62"/>
      <c r="G152" s="326"/>
      <c r="H152" s="62"/>
      <c r="I152" s="326"/>
      <c r="J152" s="62"/>
      <c r="K152" s="326"/>
      <c r="L152" s="62"/>
      <c r="M152" s="326"/>
      <c r="N152" s="62"/>
      <c r="O152" s="484">
        <f t="shared" si="4"/>
        <v>0</v>
      </c>
      <c r="P152" s="62"/>
      <c r="Q152" s="479"/>
    </row>
    <row r="153" spans="1:17" s="29" customFormat="1" ht="12.75" hidden="1">
      <c r="A153" s="8" t="s">
        <v>78</v>
      </c>
      <c r="B153" s="265" t="s">
        <v>576</v>
      </c>
      <c r="C153" s="18">
        <f>Apr20!O153</f>
        <v>0</v>
      </c>
      <c r="D153" s="97">
        <f>Apr20!P153</f>
        <v>0</v>
      </c>
      <c r="E153" s="320"/>
      <c r="F153" s="62"/>
      <c r="G153" s="326"/>
      <c r="H153" s="62"/>
      <c r="I153" s="326"/>
      <c r="J153" s="62"/>
      <c r="K153" s="326"/>
      <c r="L153" s="62"/>
      <c r="M153" s="326"/>
      <c r="N153" s="62"/>
      <c r="O153" s="484">
        <f t="shared" si="4"/>
        <v>0</v>
      </c>
      <c r="P153" s="62"/>
      <c r="Q153" s="479"/>
    </row>
    <row r="154" spans="1:17" s="29" customFormat="1" ht="12.75" hidden="1">
      <c r="A154" s="8" t="s">
        <v>79</v>
      </c>
      <c r="B154" s="265" t="s">
        <v>577</v>
      </c>
      <c r="C154" s="18">
        <f>Apr20!O154</f>
        <v>0</v>
      </c>
      <c r="D154" s="97">
        <f>Apr20!P154</f>
        <v>0</v>
      </c>
      <c r="E154" s="320"/>
      <c r="F154" s="62"/>
      <c r="G154" s="326"/>
      <c r="H154" s="62"/>
      <c r="I154" s="326"/>
      <c r="J154" s="62"/>
      <c r="K154" s="326"/>
      <c r="L154" s="62"/>
      <c r="M154" s="326"/>
      <c r="N154" s="62"/>
      <c r="O154" s="484">
        <f t="shared" si="4"/>
        <v>0</v>
      </c>
      <c r="P154" s="62"/>
      <c r="Q154" s="479"/>
    </row>
    <row r="155" spans="1:17" s="29" customFormat="1" ht="12.75" hidden="1">
      <c r="A155" s="8" t="s">
        <v>578</v>
      </c>
      <c r="B155" s="265" t="s">
        <v>579</v>
      </c>
      <c r="C155" s="18">
        <f>Apr20!O155</f>
        <v>0</v>
      </c>
      <c r="D155" s="10">
        <f>Apr20!P155</f>
        <v>0</v>
      </c>
      <c r="E155" s="320"/>
      <c r="F155" s="62"/>
      <c r="G155" s="326"/>
      <c r="H155" s="62"/>
      <c r="I155" s="326"/>
      <c r="J155" s="62"/>
      <c r="K155" s="326"/>
      <c r="L155" s="62"/>
      <c r="M155" s="326"/>
      <c r="N155" s="62"/>
      <c r="O155" s="484">
        <f t="shared" si="4"/>
        <v>0</v>
      </c>
      <c r="P155" s="62"/>
      <c r="Q155" s="479"/>
    </row>
    <row r="156" spans="1:17" s="29" customFormat="1" ht="12.75" hidden="1">
      <c r="A156" s="8" t="s">
        <v>580</v>
      </c>
      <c r="B156" s="265" t="s">
        <v>581</v>
      </c>
      <c r="C156" s="18">
        <f>Apr20!O156</f>
        <v>0</v>
      </c>
      <c r="D156" s="97">
        <f>Apr20!P156</f>
        <v>0</v>
      </c>
      <c r="E156" s="320"/>
      <c r="F156" s="62"/>
      <c r="G156" s="326"/>
      <c r="H156" s="62"/>
      <c r="I156" s="326"/>
      <c r="J156" s="62"/>
      <c r="K156" s="326"/>
      <c r="L156" s="62"/>
      <c r="M156" s="326"/>
      <c r="N156" s="62"/>
      <c r="O156" s="484">
        <f t="shared" si="4"/>
        <v>0</v>
      </c>
      <c r="P156" s="62"/>
      <c r="Q156" s="479"/>
    </row>
    <row r="157" spans="1:16" s="29" customFormat="1" ht="13.5" hidden="1" thickBot="1">
      <c r="A157" s="8" t="s">
        <v>82</v>
      </c>
      <c r="B157" s="265" t="s">
        <v>582</v>
      </c>
      <c r="C157" s="18">
        <f>Apr20!O157</f>
        <v>0</v>
      </c>
      <c r="D157" s="97">
        <f>Apr20!P157</f>
        <v>0</v>
      </c>
      <c r="E157" s="338"/>
      <c r="F157" s="62"/>
      <c r="G157" s="338"/>
      <c r="H157" s="62"/>
      <c r="I157" s="61"/>
      <c r="J157" s="62"/>
      <c r="K157" s="338"/>
      <c r="L157" s="62"/>
      <c r="M157" s="338"/>
      <c r="N157" s="62"/>
      <c r="O157" s="484">
        <f t="shared" si="4"/>
        <v>0</v>
      </c>
      <c r="P157" s="62"/>
    </row>
    <row r="158" spans="1:16" s="29" customFormat="1" ht="13.5" thickBot="1">
      <c r="A158" s="123" t="s">
        <v>24</v>
      </c>
      <c r="B158" s="124"/>
      <c r="C158" s="321">
        <f>SUM(C14:C157)</f>
        <v>179590442.36999997</v>
      </c>
      <c r="D158" s="129">
        <f>SUM(D14:D157)</f>
        <v>179590442.36999997</v>
      </c>
      <c r="E158" s="481">
        <f>SUM(E14:E157)</f>
        <v>8797261.63</v>
      </c>
      <c r="F158" s="126">
        <f>SUM(F14:F157)</f>
        <v>8797261.63</v>
      </c>
      <c r="G158" s="125">
        <f aca="true" t="shared" si="5" ref="G158:N158">SUM(G14:G141)</f>
        <v>0</v>
      </c>
      <c r="H158" s="126">
        <f t="shared" si="5"/>
        <v>0</v>
      </c>
      <c r="I158" s="125">
        <f t="shared" si="5"/>
        <v>0</v>
      </c>
      <c r="J158" s="126">
        <f t="shared" si="5"/>
        <v>0</v>
      </c>
      <c r="K158" s="125">
        <f t="shared" si="5"/>
        <v>76791.14</v>
      </c>
      <c r="L158" s="126">
        <f t="shared" si="5"/>
        <v>76791.14</v>
      </c>
      <c r="M158" s="125">
        <f t="shared" si="5"/>
        <v>40591119.94</v>
      </c>
      <c r="N158" s="126">
        <f t="shared" si="5"/>
        <v>40591119.94</v>
      </c>
      <c r="O158" s="485">
        <f>SUM(O14:O157)</f>
        <v>179678920.41999996</v>
      </c>
      <c r="P158" s="129">
        <f>SUM(P14:P157)</f>
        <v>179678920.42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0" spans="1:16" s="29" customFormat="1" ht="12.75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9"/>
      <c r="P162" s="30"/>
    </row>
    <row r="163" spans="1:16" s="29" customFormat="1" ht="12.7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0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712</v>
      </c>
      <c r="P164" s="30"/>
    </row>
    <row r="165" spans="1:16" s="29" customFormat="1" ht="12.75">
      <c r="A165" s="16" t="s">
        <v>210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 t="s">
        <v>224</v>
      </c>
      <c r="P165" s="30"/>
    </row>
  </sheetData>
  <sheetProtection/>
  <mergeCells count="16">
    <mergeCell ref="A2:P2"/>
    <mergeCell ref="A3:P3"/>
    <mergeCell ref="A5:P5"/>
    <mergeCell ref="A6:P6"/>
    <mergeCell ref="A7:P7"/>
    <mergeCell ref="A8:P8"/>
    <mergeCell ref="P10:P11"/>
    <mergeCell ref="A9:P9"/>
    <mergeCell ref="C10:D10"/>
    <mergeCell ref="E10:F10"/>
    <mergeCell ref="G10:H10"/>
    <mergeCell ref="I10:J10"/>
    <mergeCell ref="K10:L10"/>
    <mergeCell ref="M10:N10"/>
    <mergeCell ref="A10:A11"/>
    <mergeCell ref="O10:O11"/>
  </mergeCells>
  <printOptions/>
  <pageMargins left="0.78" right="0.13" top="0.31" bottom="0.12" header="0.38" footer="0.17"/>
  <pageSetup horizontalDpi="300" verticalDpi="300" orientation="portrait" paperSize="9" scale="92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6" width="14.57421875" style="30" customWidth="1"/>
    <col min="7" max="7" width="10.00390625" style="30" customWidth="1"/>
    <col min="8" max="8" width="10.28125" style="30" customWidth="1"/>
    <col min="9" max="12" width="10.42187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761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558" t="s">
        <v>5</v>
      </c>
      <c r="B10" s="35" t="s">
        <v>4</v>
      </c>
      <c r="C10" s="538" t="s">
        <v>762</v>
      </c>
      <c r="D10" s="537"/>
      <c r="E10" s="538" t="s">
        <v>49</v>
      </c>
      <c r="F10" s="539"/>
      <c r="G10" s="538" t="s">
        <v>54</v>
      </c>
      <c r="H10" s="539"/>
      <c r="I10" s="538" t="s">
        <v>48</v>
      </c>
      <c r="J10" s="539"/>
      <c r="K10" s="538" t="s">
        <v>57</v>
      </c>
      <c r="L10" s="539"/>
      <c r="M10" s="538" t="s">
        <v>50</v>
      </c>
      <c r="N10" s="539"/>
      <c r="O10" s="560" t="s">
        <v>7</v>
      </c>
      <c r="P10" s="556" t="s">
        <v>8</v>
      </c>
    </row>
    <row r="11" spans="1:16" ht="16.5" thickBot="1">
      <c r="A11" s="559"/>
      <c r="B11" s="117" t="s">
        <v>6</v>
      </c>
      <c r="C11" s="105" t="s">
        <v>7</v>
      </c>
      <c r="D11" s="117" t="s">
        <v>8</v>
      </c>
      <c r="E11" s="105" t="s">
        <v>7</v>
      </c>
      <c r="F11" s="106" t="s">
        <v>8</v>
      </c>
      <c r="G11" s="105" t="s">
        <v>7</v>
      </c>
      <c r="H11" s="106" t="s">
        <v>8</v>
      </c>
      <c r="I11" s="105" t="s">
        <v>7</v>
      </c>
      <c r="J11" s="106" t="s">
        <v>8</v>
      </c>
      <c r="K11" s="105" t="s">
        <v>7</v>
      </c>
      <c r="L11" s="106" t="s">
        <v>8</v>
      </c>
      <c r="M11" s="105" t="s">
        <v>7</v>
      </c>
      <c r="N11" s="106" t="s">
        <v>8</v>
      </c>
      <c r="O11" s="561"/>
      <c r="P11" s="557"/>
    </row>
    <row r="12" spans="1:16" ht="13.5" customHeight="1">
      <c r="A12" s="40"/>
      <c r="B12" s="41"/>
      <c r="C12" s="327"/>
      <c r="D12" s="478"/>
      <c r="E12" s="40"/>
      <c r="F12" s="42"/>
      <c r="G12" s="40"/>
      <c r="H12" s="42"/>
      <c r="I12" s="40"/>
      <c r="J12" s="42"/>
      <c r="K12" s="40"/>
      <c r="L12" s="42"/>
      <c r="M12" s="40"/>
      <c r="N12" s="42"/>
      <c r="O12" s="482"/>
      <c r="P12" s="114"/>
    </row>
    <row r="13" spans="1:16" ht="12.75" customHeight="1">
      <c r="A13" s="4" t="s">
        <v>9</v>
      </c>
      <c r="B13" s="261"/>
      <c r="C13" s="56"/>
      <c r="D13" s="29"/>
      <c r="E13" s="23"/>
      <c r="F13" s="45"/>
      <c r="G13" s="23"/>
      <c r="H13" s="46"/>
      <c r="I13" s="23"/>
      <c r="J13" s="45"/>
      <c r="K13" s="23"/>
      <c r="L13" s="46"/>
      <c r="M13" s="23"/>
      <c r="N13" s="45"/>
      <c r="O13" s="483"/>
      <c r="P13" s="115"/>
    </row>
    <row r="14" spans="1:16" ht="12.75">
      <c r="A14" s="102" t="s">
        <v>678</v>
      </c>
      <c r="B14" s="262" t="s">
        <v>679</v>
      </c>
      <c r="C14" s="18">
        <f>May20!O14</f>
        <v>0</v>
      </c>
      <c r="D14" s="6">
        <f>May20!P14</f>
        <v>0</v>
      </c>
      <c r="E14" s="13"/>
      <c r="F14" s="10"/>
      <c r="G14" s="13"/>
      <c r="H14" s="46"/>
      <c r="I14" s="13"/>
      <c r="J14" s="48"/>
      <c r="K14" s="13"/>
      <c r="L14" s="46"/>
      <c r="M14" s="13"/>
      <c r="N14" s="48"/>
      <c r="O14" s="484">
        <f aca="true" t="shared" si="0" ref="O14:O85">C14+E14+I14+M14-D14-F14-J14-N14+G14-H14+K14-L14</f>
        <v>0</v>
      </c>
      <c r="P14" s="22"/>
    </row>
    <row r="15" spans="1:16" s="29" customFormat="1" ht="12.75">
      <c r="A15" s="49" t="s">
        <v>101</v>
      </c>
      <c r="B15" s="262" t="s">
        <v>100</v>
      </c>
      <c r="C15" s="18">
        <f>May20!O15</f>
        <v>35000</v>
      </c>
      <c r="D15" s="6">
        <f>May20!P15</f>
        <v>0</v>
      </c>
      <c r="E15" s="13"/>
      <c r="F15" s="10"/>
      <c r="G15" s="13"/>
      <c r="H15" s="46"/>
      <c r="I15" s="13"/>
      <c r="J15" s="48"/>
      <c r="K15" s="13"/>
      <c r="L15" s="46"/>
      <c r="M15" s="13"/>
      <c r="N15" s="48"/>
      <c r="O15" s="484">
        <f t="shared" si="0"/>
        <v>35000</v>
      </c>
      <c r="P15" s="22"/>
    </row>
    <row r="16" spans="1:16" s="29" customFormat="1" ht="12.75">
      <c r="A16" s="49" t="s">
        <v>589</v>
      </c>
      <c r="B16" s="262" t="s">
        <v>230</v>
      </c>
      <c r="C16" s="18">
        <f>May20!O16</f>
        <v>333912.42</v>
      </c>
      <c r="D16" s="6">
        <f>May20!P16</f>
        <v>0</v>
      </c>
      <c r="E16" s="14"/>
      <c r="F16" s="10"/>
      <c r="G16" s="14"/>
      <c r="H16" s="46"/>
      <c r="I16" s="14"/>
      <c r="J16" s="48"/>
      <c r="K16" s="14"/>
      <c r="L16" s="46"/>
      <c r="M16" s="14"/>
      <c r="N16" s="50"/>
      <c r="O16" s="484">
        <f t="shared" si="0"/>
        <v>333912.42</v>
      </c>
      <c r="P16" s="22"/>
    </row>
    <row r="17" spans="1:16" s="29" customFormat="1" ht="12.75">
      <c r="A17" s="49" t="s">
        <v>636</v>
      </c>
      <c r="B17" s="262" t="s">
        <v>590</v>
      </c>
      <c r="C17" s="18">
        <f>May20!O17</f>
        <v>0</v>
      </c>
      <c r="D17" s="6">
        <f>May20!P17</f>
        <v>0</v>
      </c>
      <c r="E17" s="14"/>
      <c r="F17" s="10"/>
      <c r="G17" s="14"/>
      <c r="H17" s="46"/>
      <c r="I17" s="14"/>
      <c r="J17" s="50"/>
      <c r="K17" s="14"/>
      <c r="L17" s="10"/>
      <c r="M17" s="14"/>
      <c r="N17" s="50"/>
      <c r="O17" s="484">
        <f t="shared" si="0"/>
        <v>0</v>
      </c>
      <c r="P17" s="22"/>
    </row>
    <row r="18" spans="1:16" s="29" customFormat="1" ht="12.75">
      <c r="A18" s="49" t="s">
        <v>103</v>
      </c>
      <c r="B18" s="262" t="s">
        <v>102</v>
      </c>
      <c r="C18" s="18">
        <f>May20!O18</f>
        <v>19777395.599999994</v>
      </c>
      <c r="D18" s="6">
        <f>May20!P18</f>
        <v>0</v>
      </c>
      <c r="E18" s="13"/>
      <c r="F18" s="10">
        <v>21102287.6</v>
      </c>
      <c r="G18" s="14"/>
      <c r="H18" s="46"/>
      <c r="I18" s="14"/>
      <c r="J18" s="50"/>
      <c r="K18" s="14"/>
      <c r="L18" s="10"/>
      <c r="M18" s="14">
        <f>1109092+250000</f>
        <v>1359092</v>
      </c>
      <c r="N18" s="50"/>
      <c r="O18" s="484">
        <f t="shared" si="0"/>
        <v>34199.99999999255</v>
      </c>
      <c r="P18" s="22"/>
    </row>
    <row r="19" spans="1:16" s="29" customFormat="1" ht="12.75">
      <c r="A19" s="49" t="s">
        <v>10</v>
      </c>
      <c r="B19" s="262" t="s">
        <v>104</v>
      </c>
      <c r="C19" s="18">
        <f>May20!O19</f>
        <v>12594403.790000001</v>
      </c>
      <c r="D19" s="6">
        <f>May20!P19</f>
        <v>0</v>
      </c>
      <c r="E19" s="13"/>
      <c r="F19" s="10"/>
      <c r="G19" s="14"/>
      <c r="H19" s="46"/>
      <c r="I19" s="14"/>
      <c r="J19" s="50"/>
      <c r="K19" s="14"/>
      <c r="L19" s="10"/>
      <c r="M19" s="14"/>
      <c r="N19" s="50"/>
      <c r="O19" s="484">
        <f t="shared" si="0"/>
        <v>12594403.790000001</v>
      </c>
      <c r="P19" s="22"/>
    </row>
    <row r="20" spans="1:16" s="29" customFormat="1" ht="12.75">
      <c r="A20" s="49" t="s">
        <v>567</v>
      </c>
      <c r="B20" s="262" t="s">
        <v>568</v>
      </c>
      <c r="C20" s="18">
        <f>May20!O20</f>
        <v>21915058.29</v>
      </c>
      <c r="D20" s="6">
        <f>May20!P20</f>
        <v>0</v>
      </c>
      <c r="E20" s="14">
        <v>320928</v>
      </c>
      <c r="F20" s="10"/>
      <c r="G20" s="14"/>
      <c r="H20" s="53"/>
      <c r="I20" s="14"/>
      <c r="J20" s="12"/>
      <c r="K20" s="14"/>
      <c r="L20" s="53"/>
      <c r="M20" s="14"/>
      <c r="N20" s="12"/>
      <c r="O20" s="484">
        <f t="shared" si="0"/>
        <v>22235986.29</v>
      </c>
      <c r="P20" s="22"/>
    </row>
    <row r="21" spans="1:16" s="29" customFormat="1" ht="12.75">
      <c r="A21" s="49" t="s">
        <v>225</v>
      </c>
      <c r="B21" s="263" t="s">
        <v>226</v>
      </c>
      <c r="C21" s="18">
        <f>May20!O21</f>
        <v>497000</v>
      </c>
      <c r="D21" s="6">
        <f>May20!P21</f>
        <v>0</v>
      </c>
      <c r="E21" s="14"/>
      <c r="F21" s="10"/>
      <c r="G21" s="14"/>
      <c r="H21" s="53"/>
      <c r="I21" s="14"/>
      <c r="J21" s="12"/>
      <c r="K21" s="14"/>
      <c r="L21" s="53"/>
      <c r="M21" s="14"/>
      <c r="N21" s="12"/>
      <c r="O21" s="484">
        <f t="shared" si="0"/>
        <v>497000</v>
      </c>
      <c r="P21" s="22"/>
    </row>
    <row r="22" spans="1:16" s="29" customFormat="1" ht="12.75">
      <c r="A22" s="49" t="s">
        <v>11</v>
      </c>
      <c r="B22" s="262" t="s">
        <v>105</v>
      </c>
      <c r="C22" s="18">
        <f>May20!O22</f>
        <v>149364.22</v>
      </c>
      <c r="D22" s="6">
        <f>May20!P22</f>
        <v>0</v>
      </c>
      <c r="E22" s="13">
        <v>304748</v>
      </c>
      <c r="F22" s="10"/>
      <c r="G22" s="14"/>
      <c r="H22" s="53"/>
      <c r="I22" s="14"/>
      <c r="J22" s="12"/>
      <c r="K22" s="14"/>
      <c r="L22" s="53"/>
      <c r="M22" s="14"/>
      <c r="N22" s="12"/>
      <c r="O22" s="484">
        <f t="shared" si="0"/>
        <v>454112.22</v>
      </c>
      <c r="P22" s="122"/>
    </row>
    <row r="23" spans="1:16" s="29" customFormat="1" ht="12.75">
      <c r="A23" s="74" t="s">
        <v>108</v>
      </c>
      <c r="B23" s="264" t="s">
        <v>106</v>
      </c>
      <c r="C23" s="18">
        <f>May20!O23</f>
        <v>0</v>
      </c>
      <c r="D23" s="6">
        <f>May20!P23</f>
        <v>0</v>
      </c>
      <c r="E23" s="13">
        <v>1600</v>
      </c>
      <c r="F23" s="10"/>
      <c r="G23" s="14"/>
      <c r="H23" s="53"/>
      <c r="I23" s="14"/>
      <c r="J23" s="12"/>
      <c r="K23" s="14"/>
      <c r="L23" s="53"/>
      <c r="M23" s="14"/>
      <c r="N23" s="12"/>
      <c r="O23" s="484">
        <f t="shared" si="0"/>
        <v>1600</v>
      </c>
      <c r="P23" s="122"/>
    </row>
    <row r="24" spans="1:16" s="29" customFormat="1" ht="12.75" hidden="1">
      <c r="A24" s="49" t="s">
        <v>109</v>
      </c>
      <c r="B24" s="262" t="s">
        <v>107</v>
      </c>
      <c r="C24" s="18">
        <f>May20!O24</f>
        <v>0</v>
      </c>
      <c r="D24" s="6">
        <f>May20!P24</f>
        <v>0</v>
      </c>
      <c r="E24" s="14"/>
      <c r="F24" s="10"/>
      <c r="G24" s="14"/>
      <c r="H24" s="53"/>
      <c r="I24" s="14"/>
      <c r="J24" s="12"/>
      <c r="K24" s="14"/>
      <c r="L24" s="53"/>
      <c r="M24" s="14"/>
      <c r="N24" s="12"/>
      <c r="O24" s="484">
        <f t="shared" si="0"/>
        <v>0</v>
      </c>
      <c r="P24" s="122"/>
    </row>
    <row r="25" spans="1:16" s="29" customFormat="1" ht="12.75" hidden="1">
      <c r="A25" s="49" t="s">
        <v>239</v>
      </c>
      <c r="B25" s="263" t="s">
        <v>240</v>
      </c>
      <c r="C25" s="18">
        <f>May20!O25</f>
        <v>0</v>
      </c>
      <c r="D25" s="6">
        <f>May20!P25</f>
        <v>0</v>
      </c>
      <c r="E25" s="14"/>
      <c r="F25" s="10"/>
      <c r="G25" s="14"/>
      <c r="H25" s="98"/>
      <c r="I25" s="14"/>
      <c r="J25" s="12"/>
      <c r="K25" s="14"/>
      <c r="L25" s="53"/>
      <c r="M25" s="14"/>
      <c r="N25" s="12"/>
      <c r="O25" s="484">
        <f t="shared" si="0"/>
        <v>0</v>
      </c>
      <c r="P25" s="122"/>
    </row>
    <row r="26" spans="1:16" s="29" customFormat="1" ht="12.75" hidden="1">
      <c r="A26" s="49" t="s">
        <v>238</v>
      </c>
      <c r="B26" s="263" t="s">
        <v>231</v>
      </c>
      <c r="C26" s="18">
        <f>May20!O26</f>
        <v>0</v>
      </c>
      <c r="D26" s="6">
        <f>May20!P26</f>
        <v>0</v>
      </c>
      <c r="E26" s="13"/>
      <c r="F26" s="10"/>
      <c r="G26" s="14"/>
      <c r="H26" s="98"/>
      <c r="I26" s="14"/>
      <c r="J26" s="12"/>
      <c r="K26" s="14"/>
      <c r="L26" s="53"/>
      <c r="M26" s="14"/>
      <c r="N26" s="12"/>
      <c r="O26" s="484">
        <f t="shared" si="0"/>
        <v>0</v>
      </c>
      <c r="P26" s="122"/>
    </row>
    <row r="27" spans="1:16" s="29" customFormat="1" ht="12.75" hidden="1">
      <c r="A27" s="49" t="s">
        <v>534</v>
      </c>
      <c r="B27" s="263" t="s">
        <v>526</v>
      </c>
      <c r="C27" s="18">
        <f>May20!O27</f>
        <v>0</v>
      </c>
      <c r="D27" s="6">
        <f>May20!P27</f>
        <v>0</v>
      </c>
      <c r="E27" s="13"/>
      <c r="F27" s="10"/>
      <c r="G27" s="14"/>
      <c r="H27" s="53"/>
      <c r="I27" s="14"/>
      <c r="J27" s="12"/>
      <c r="K27" s="14"/>
      <c r="L27" s="53"/>
      <c r="M27" s="14"/>
      <c r="N27" s="12"/>
      <c r="O27" s="484">
        <f t="shared" si="0"/>
        <v>0</v>
      </c>
      <c r="P27" s="122"/>
    </row>
    <row r="28" spans="1:16" s="29" customFormat="1" ht="12.75" hidden="1">
      <c r="A28" s="49" t="s">
        <v>315</v>
      </c>
      <c r="B28" s="262" t="s">
        <v>110</v>
      </c>
      <c r="C28" s="18">
        <f>May20!O28</f>
        <v>0</v>
      </c>
      <c r="D28" s="6">
        <f>May20!P28</f>
        <v>0</v>
      </c>
      <c r="E28" s="14"/>
      <c r="F28" s="10"/>
      <c r="G28" s="14"/>
      <c r="H28" s="53"/>
      <c r="I28" s="14"/>
      <c r="J28" s="12"/>
      <c r="K28" s="14"/>
      <c r="L28" s="53"/>
      <c r="M28" s="14"/>
      <c r="N28" s="12"/>
      <c r="O28" s="484">
        <f t="shared" si="0"/>
        <v>0</v>
      </c>
      <c r="P28" s="122"/>
    </row>
    <row r="29" spans="1:16" s="29" customFormat="1" ht="12.75">
      <c r="A29" s="49" t="s">
        <v>213</v>
      </c>
      <c r="B29" s="262" t="s">
        <v>209</v>
      </c>
      <c r="C29" s="18">
        <f>May20!O29</f>
        <v>16908.95</v>
      </c>
      <c r="D29" s="6">
        <f>May20!P29</f>
        <v>0</v>
      </c>
      <c r="E29" s="14">
        <v>200950.11</v>
      </c>
      <c r="F29" s="10"/>
      <c r="G29" s="14"/>
      <c r="H29" s="53"/>
      <c r="I29" s="14"/>
      <c r="J29" s="12"/>
      <c r="K29" s="14"/>
      <c r="L29" s="53"/>
      <c r="M29" s="14"/>
      <c r="N29" s="12">
        <f>16908.95+129119.81+57730.99</f>
        <v>203759.75</v>
      </c>
      <c r="O29" s="484">
        <f t="shared" si="0"/>
        <v>14099.309999999998</v>
      </c>
      <c r="P29" s="122"/>
    </row>
    <row r="30" spans="1:16" s="29" customFormat="1" ht="12.75">
      <c r="A30" s="49" t="s">
        <v>201</v>
      </c>
      <c r="B30" s="262" t="s">
        <v>200</v>
      </c>
      <c r="C30" s="18">
        <f>May20!O30</f>
        <v>0</v>
      </c>
      <c r="D30" s="6">
        <f>May20!P30</f>
        <v>0</v>
      </c>
      <c r="E30" s="13"/>
      <c r="F30" s="10"/>
      <c r="G30" s="14"/>
      <c r="H30" s="53"/>
      <c r="I30" s="14"/>
      <c r="J30" s="12"/>
      <c r="K30" s="14"/>
      <c r="L30" s="53"/>
      <c r="M30" s="14"/>
      <c r="N30" s="12"/>
      <c r="O30" s="484">
        <f t="shared" si="0"/>
        <v>0</v>
      </c>
      <c r="P30" s="122"/>
    </row>
    <row r="31" spans="1:16" s="29" customFormat="1" ht="12.75">
      <c r="A31" s="49" t="s">
        <v>202</v>
      </c>
      <c r="B31" s="262" t="s">
        <v>203</v>
      </c>
      <c r="C31" s="18">
        <f>May20!O31</f>
        <v>0</v>
      </c>
      <c r="D31" s="6">
        <f>May20!P31</f>
        <v>0</v>
      </c>
      <c r="E31" s="13"/>
      <c r="F31" s="10"/>
      <c r="G31" s="14"/>
      <c r="H31" s="12"/>
      <c r="I31" s="14"/>
      <c r="J31" s="12"/>
      <c r="K31" s="14"/>
      <c r="L31" s="12"/>
      <c r="M31" s="14"/>
      <c r="N31" s="12"/>
      <c r="O31" s="484">
        <f t="shared" si="0"/>
        <v>0</v>
      </c>
      <c r="P31" s="122"/>
    </row>
    <row r="32" spans="1:16" s="29" customFormat="1" ht="12.75">
      <c r="A32" s="49" t="s">
        <v>727</v>
      </c>
      <c r="B32" s="262" t="s">
        <v>728</v>
      </c>
      <c r="C32" s="18">
        <f>May20!O32</f>
        <v>15395669.18</v>
      </c>
      <c r="D32" s="6">
        <f>May20!P32</f>
        <v>0</v>
      </c>
      <c r="E32" s="14"/>
      <c r="F32" s="10"/>
      <c r="G32" s="14"/>
      <c r="H32" s="12"/>
      <c r="I32" s="14"/>
      <c r="J32" s="12"/>
      <c r="K32" s="14"/>
      <c r="L32" s="12"/>
      <c r="M32" s="14"/>
      <c r="N32" s="12"/>
      <c r="O32" s="484">
        <f t="shared" si="0"/>
        <v>15395669.18</v>
      </c>
      <c r="P32" s="122"/>
    </row>
    <row r="33" spans="1:16" s="29" customFormat="1" ht="12.75">
      <c r="A33" s="49" t="s">
        <v>12</v>
      </c>
      <c r="B33" s="262" t="s">
        <v>111</v>
      </c>
      <c r="C33" s="18">
        <f>May20!O33</f>
        <v>1208049.99</v>
      </c>
      <c r="D33" s="6">
        <f>May20!P33</f>
        <v>0</v>
      </c>
      <c r="E33" s="14"/>
      <c r="F33" s="10"/>
      <c r="G33" s="14"/>
      <c r="H33" s="12"/>
      <c r="I33" s="14"/>
      <c r="J33" s="12"/>
      <c r="K33" s="14"/>
      <c r="L33" s="12"/>
      <c r="M33" s="14"/>
      <c r="N33" s="12"/>
      <c r="O33" s="484">
        <f t="shared" si="0"/>
        <v>1208049.99</v>
      </c>
      <c r="P33" s="122">
        <f>D33+F33+J33+N33+H33-E33-G33-I33-M33+L33-K33</f>
        <v>0</v>
      </c>
    </row>
    <row r="34" spans="1:16" s="29" customFormat="1" ht="12.75">
      <c r="A34" s="49" t="s">
        <v>120</v>
      </c>
      <c r="B34" s="262" t="s">
        <v>112</v>
      </c>
      <c r="C34" s="18">
        <f>May20!O34</f>
        <v>0</v>
      </c>
      <c r="D34" s="6">
        <f>May20!P34</f>
        <v>364327.7</v>
      </c>
      <c r="E34" s="13"/>
      <c r="F34" s="10"/>
      <c r="G34" s="14"/>
      <c r="H34" s="12"/>
      <c r="I34" s="14"/>
      <c r="J34" s="12"/>
      <c r="K34" s="14"/>
      <c r="L34" s="12"/>
      <c r="M34" s="14"/>
      <c r="N34" s="12"/>
      <c r="O34" s="484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262" t="s">
        <v>113</v>
      </c>
      <c r="C35" s="18">
        <f>May20!O35</f>
        <v>718378</v>
      </c>
      <c r="D35" s="6">
        <f>May20!P35</f>
        <v>0</v>
      </c>
      <c r="E35" s="13"/>
      <c r="F35" s="10"/>
      <c r="G35" s="14"/>
      <c r="H35" s="12"/>
      <c r="I35" s="14"/>
      <c r="J35" s="12"/>
      <c r="K35" s="14"/>
      <c r="L35" s="12"/>
      <c r="M35" s="14"/>
      <c r="N35" s="12"/>
      <c r="O35" s="484">
        <f t="shared" si="0"/>
        <v>718378</v>
      </c>
      <c r="P35" s="122">
        <f>D35+F35+J35+N35+H35-E35-G35-I35-M35+L35-K35</f>
        <v>0</v>
      </c>
    </row>
    <row r="36" spans="1:16" s="29" customFormat="1" ht="12.75" customHeight="1">
      <c r="A36" s="49" t="s">
        <v>115</v>
      </c>
      <c r="B36" s="262" t="s">
        <v>121</v>
      </c>
      <c r="C36" s="18">
        <f>May20!O36</f>
        <v>0</v>
      </c>
      <c r="D36" s="6">
        <f>May20!P36</f>
        <v>422310.89</v>
      </c>
      <c r="E36" s="14"/>
      <c r="F36" s="10"/>
      <c r="G36" s="14"/>
      <c r="H36" s="12"/>
      <c r="I36" s="14"/>
      <c r="J36" s="12"/>
      <c r="K36" s="14"/>
      <c r="L36" s="12"/>
      <c r="M36" s="14"/>
      <c r="N36" s="12"/>
      <c r="O36" s="484"/>
      <c r="P36" s="122">
        <f>D36+F36+J36+N36+H36-E36-G36-I36-M36+L36-K36</f>
        <v>422310.89</v>
      </c>
    </row>
    <row r="37" spans="1:16" s="29" customFormat="1" ht="12.75" customHeight="1">
      <c r="A37" s="49" t="s">
        <v>780</v>
      </c>
      <c r="B37" s="262" t="s">
        <v>778</v>
      </c>
      <c r="C37" s="18">
        <f>May20!O37</f>
        <v>40426250</v>
      </c>
      <c r="D37" s="6">
        <f>May20!P37</f>
        <v>0</v>
      </c>
      <c r="E37" s="14"/>
      <c r="F37" s="10"/>
      <c r="G37" s="14"/>
      <c r="H37" s="12"/>
      <c r="I37" s="14"/>
      <c r="J37" s="12"/>
      <c r="K37" s="14"/>
      <c r="L37" s="12"/>
      <c r="M37" s="14"/>
      <c r="N37" s="12"/>
      <c r="O37" s="484">
        <f t="shared" si="0"/>
        <v>40426250</v>
      </c>
      <c r="P37" s="122">
        <f>D37+F37+J37+N37+H37-E37-G37-I37-M37+L37-K37</f>
        <v>0</v>
      </c>
    </row>
    <row r="38" spans="1:16" s="29" customFormat="1" ht="12.75" customHeight="1">
      <c r="A38" s="49" t="s">
        <v>781</v>
      </c>
      <c r="B38" s="262" t="s">
        <v>779</v>
      </c>
      <c r="C38" s="18">
        <f>May20!O38</f>
        <v>0</v>
      </c>
      <c r="D38" s="6">
        <f>May20!P38</f>
        <v>0</v>
      </c>
      <c r="E38" s="13"/>
      <c r="F38" s="10"/>
      <c r="G38" s="14"/>
      <c r="H38" s="12"/>
      <c r="I38" s="14"/>
      <c r="J38" s="12"/>
      <c r="K38" s="14"/>
      <c r="L38" s="12"/>
      <c r="M38" s="14"/>
      <c r="N38" s="12"/>
      <c r="O38" s="484">
        <f t="shared" si="0"/>
        <v>0</v>
      </c>
      <c r="P38" s="122"/>
    </row>
    <row r="39" spans="1:16" s="29" customFormat="1" ht="12.75" customHeight="1">
      <c r="A39" s="49" t="s">
        <v>782</v>
      </c>
      <c r="B39" s="262" t="s">
        <v>783</v>
      </c>
      <c r="C39" s="18">
        <f>May20!O39</f>
        <v>0</v>
      </c>
      <c r="D39" s="6">
        <f>May20!P39</f>
        <v>0</v>
      </c>
      <c r="E39" s="13"/>
      <c r="F39" s="10"/>
      <c r="G39" s="14"/>
      <c r="H39" s="12"/>
      <c r="I39" s="14"/>
      <c r="J39" s="12"/>
      <c r="K39" s="14"/>
      <c r="L39" s="12"/>
      <c r="M39" s="14"/>
      <c r="N39" s="12"/>
      <c r="O39" s="484">
        <f t="shared" si="0"/>
        <v>0</v>
      </c>
      <c r="P39" s="122">
        <f>D39+F39+J39+N39+H39-E39-G39-I39-M39+L39-K39</f>
        <v>0</v>
      </c>
    </row>
    <row r="40" spans="1:16" s="29" customFormat="1" ht="12.75" customHeight="1">
      <c r="A40" s="49" t="s">
        <v>784</v>
      </c>
      <c r="B40" s="262" t="s">
        <v>785</v>
      </c>
      <c r="C40" s="18">
        <f>May20!O40</f>
        <v>0</v>
      </c>
      <c r="D40" s="6">
        <f>May20!P40</f>
        <v>0</v>
      </c>
      <c r="E40" s="14"/>
      <c r="F40" s="10"/>
      <c r="G40" s="14"/>
      <c r="H40" s="12"/>
      <c r="I40" s="14"/>
      <c r="J40" s="12"/>
      <c r="K40" s="14"/>
      <c r="L40" s="12"/>
      <c r="M40" s="14"/>
      <c r="N40" s="12"/>
      <c r="O40" s="484">
        <f t="shared" si="0"/>
        <v>0</v>
      </c>
      <c r="P40" s="122"/>
    </row>
    <row r="41" spans="1:16" s="29" customFormat="1" ht="12.75" customHeight="1">
      <c r="A41" s="49" t="s">
        <v>786</v>
      </c>
      <c r="B41" s="262" t="s">
        <v>788</v>
      </c>
      <c r="C41" s="18"/>
      <c r="D41" s="6"/>
      <c r="E41" s="14"/>
      <c r="F41" s="10"/>
      <c r="G41" s="14"/>
      <c r="H41" s="12"/>
      <c r="I41" s="14"/>
      <c r="J41" s="12"/>
      <c r="K41" s="14"/>
      <c r="L41" s="12"/>
      <c r="M41" s="14"/>
      <c r="N41" s="12"/>
      <c r="O41" s="484"/>
      <c r="P41" s="122"/>
    </row>
    <row r="42" spans="1:16" s="29" customFormat="1" ht="12.75" customHeight="1">
      <c r="A42" s="49" t="s">
        <v>787</v>
      </c>
      <c r="B42" s="262" t="s">
        <v>789</v>
      </c>
      <c r="C42" s="18"/>
      <c r="D42" s="6"/>
      <c r="E42" s="14"/>
      <c r="F42" s="10"/>
      <c r="G42" s="14"/>
      <c r="H42" s="12"/>
      <c r="I42" s="14"/>
      <c r="J42" s="12"/>
      <c r="K42" s="14"/>
      <c r="L42" s="12"/>
      <c r="M42" s="14"/>
      <c r="N42" s="12"/>
      <c r="O42" s="484"/>
      <c r="P42" s="122"/>
    </row>
    <row r="43" spans="1:16" s="29" customFormat="1" ht="12.75" customHeight="1">
      <c r="A43" s="49" t="s">
        <v>530</v>
      </c>
      <c r="B43" s="262" t="s">
        <v>533</v>
      </c>
      <c r="C43" s="18">
        <f>May20!O43</f>
        <v>40622</v>
      </c>
      <c r="D43" s="6">
        <f>May20!P43</f>
        <v>0</v>
      </c>
      <c r="E43" s="14"/>
      <c r="F43" s="10"/>
      <c r="G43" s="14"/>
      <c r="H43" s="12"/>
      <c r="I43" s="14"/>
      <c r="J43" s="12"/>
      <c r="K43" s="14"/>
      <c r="L43" s="12"/>
      <c r="M43" s="14"/>
      <c r="N43" s="12"/>
      <c r="O43" s="484">
        <f t="shared" si="0"/>
        <v>40622</v>
      </c>
      <c r="P43" s="122">
        <f aca="true" t="shared" si="1" ref="P43:P50">D43+F43+J43+N43+H43-E43-G43-I43-M43+L43-K43</f>
        <v>0</v>
      </c>
    </row>
    <row r="44" spans="1:16" s="29" customFormat="1" ht="12.75">
      <c r="A44" s="49" t="s">
        <v>531</v>
      </c>
      <c r="B44" s="262" t="s">
        <v>532</v>
      </c>
      <c r="C44" s="18">
        <f>May20!O44</f>
        <v>0</v>
      </c>
      <c r="D44" s="6">
        <f>May20!P44</f>
        <v>9647.73</v>
      </c>
      <c r="E44" s="13"/>
      <c r="F44" s="10"/>
      <c r="G44" s="14"/>
      <c r="H44" s="12"/>
      <c r="I44" s="14"/>
      <c r="J44" s="12"/>
      <c r="K44" s="14"/>
      <c r="L44" s="12"/>
      <c r="M44" s="14"/>
      <c r="N44" s="12"/>
      <c r="O44" s="484"/>
      <c r="P44" s="122">
        <f t="shared" si="1"/>
        <v>9647.73</v>
      </c>
    </row>
    <row r="45" spans="1:16" s="29" customFormat="1" ht="12.75">
      <c r="A45" s="49" t="s">
        <v>128</v>
      </c>
      <c r="B45" s="262" t="s">
        <v>130</v>
      </c>
      <c r="C45" s="18">
        <f>May20!O45</f>
        <v>545970</v>
      </c>
      <c r="D45" s="6">
        <f>May20!P45</f>
        <v>0</v>
      </c>
      <c r="E45" s="13"/>
      <c r="F45" s="10"/>
      <c r="G45" s="14"/>
      <c r="H45" s="12"/>
      <c r="I45" s="14"/>
      <c r="J45" s="12"/>
      <c r="K45" s="14"/>
      <c r="L45" s="12"/>
      <c r="M45" s="14"/>
      <c r="N45" s="12"/>
      <c r="O45" s="484">
        <f t="shared" si="0"/>
        <v>545970</v>
      </c>
      <c r="P45" s="122">
        <f t="shared" si="1"/>
        <v>0</v>
      </c>
    </row>
    <row r="46" spans="1:16" s="29" customFormat="1" ht="12.75">
      <c r="A46" s="49" t="s">
        <v>129</v>
      </c>
      <c r="B46" s="262" t="s">
        <v>131</v>
      </c>
      <c r="C46" s="18">
        <f>May20!O46</f>
        <v>0</v>
      </c>
      <c r="D46" s="6">
        <f>May20!P46</f>
        <v>370243.56</v>
      </c>
      <c r="E46" s="14"/>
      <c r="F46" s="10"/>
      <c r="G46" s="14"/>
      <c r="H46" s="12"/>
      <c r="I46" s="14"/>
      <c r="J46" s="12"/>
      <c r="K46" s="14"/>
      <c r="L46" s="12"/>
      <c r="M46" s="14"/>
      <c r="N46" s="12"/>
      <c r="O46" s="484"/>
      <c r="P46" s="122">
        <f t="shared" si="1"/>
        <v>370243.56</v>
      </c>
    </row>
    <row r="47" spans="1:16" s="29" customFormat="1" ht="12.75">
      <c r="A47" s="49" t="s">
        <v>41</v>
      </c>
      <c r="B47" s="262" t="s">
        <v>126</v>
      </c>
      <c r="C47" s="18">
        <f>May20!O47</f>
        <v>2391000</v>
      </c>
      <c r="D47" s="6">
        <f>May20!P47</f>
        <v>0</v>
      </c>
      <c r="E47" s="14"/>
      <c r="F47" s="10"/>
      <c r="G47" s="14"/>
      <c r="H47" s="12"/>
      <c r="I47" s="14"/>
      <c r="J47" s="12"/>
      <c r="K47" s="14"/>
      <c r="L47" s="12"/>
      <c r="M47" s="14"/>
      <c r="N47" s="12"/>
      <c r="O47" s="484">
        <f t="shared" si="0"/>
        <v>2391000</v>
      </c>
      <c r="P47" s="122">
        <f t="shared" si="1"/>
        <v>0</v>
      </c>
    </row>
    <row r="48" spans="1:16" s="29" customFormat="1" ht="12.75">
      <c r="A48" s="49" t="s">
        <v>42</v>
      </c>
      <c r="B48" s="262" t="s">
        <v>127</v>
      </c>
      <c r="C48" s="18">
        <f>May20!O48</f>
        <v>0</v>
      </c>
      <c r="D48" s="6">
        <f>May20!P48</f>
        <v>854100</v>
      </c>
      <c r="E48" s="13"/>
      <c r="F48" s="10"/>
      <c r="G48" s="14"/>
      <c r="H48" s="12"/>
      <c r="I48" s="14"/>
      <c r="J48" s="12"/>
      <c r="K48" s="14"/>
      <c r="L48" s="12"/>
      <c r="M48" s="14"/>
      <c r="N48" s="12"/>
      <c r="O48" s="484"/>
      <c r="P48" s="122">
        <f t="shared" si="1"/>
        <v>854100</v>
      </c>
    </row>
    <row r="49" spans="1:16" s="29" customFormat="1" ht="12.75">
      <c r="A49" s="49" t="s">
        <v>13</v>
      </c>
      <c r="B49" s="262" t="s">
        <v>118</v>
      </c>
      <c r="C49" s="18">
        <f>May20!O49</f>
        <v>631727.2</v>
      </c>
      <c r="D49" s="6">
        <f>May20!P49</f>
        <v>0</v>
      </c>
      <c r="E49" s="13"/>
      <c r="F49" s="10"/>
      <c r="G49" s="14"/>
      <c r="H49" s="12"/>
      <c r="I49" s="14"/>
      <c r="J49" s="12"/>
      <c r="K49" s="14"/>
      <c r="L49" s="12"/>
      <c r="M49" s="14"/>
      <c r="N49" s="12"/>
      <c r="O49" s="484">
        <f t="shared" si="0"/>
        <v>631727.2</v>
      </c>
      <c r="P49" s="122">
        <f t="shared" si="1"/>
        <v>0</v>
      </c>
    </row>
    <row r="50" spans="1:16" s="29" customFormat="1" ht="12.75">
      <c r="A50" s="49" t="s">
        <v>14</v>
      </c>
      <c r="B50" s="262" t="s">
        <v>119</v>
      </c>
      <c r="C50" s="18">
        <f>May20!O50</f>
        <v>0</v>
      </c>
      <c r="D50" s="6">
        <f>May20!P50</f>
        <v>319092.84</v>
      </c>
      <c r="E50" s="14"/>
      <c r="F50" s="10"/>
      <c r="G50" s="14"/>
      <c r="H50" s="12"/>
      <c r="I50" s="14"/>
      <c r="J50" s="12"/>
      <c r="K50" s="14"/>
      <c r="L50" s="12"/>
      <c r="M50" s="14"/>
      <c r="N50" s="12"/>
      <c r="O50" s="484"/>
      <c r="P50" s="122">
        <f t="shared" si="1"/>
        <v>319092.84</v>
      </c>
    </row>
    <row r="51" spans="1:17" s="29" customFormat="1" ht="12.75">
      <c r="A51" s="49" t="s">
        <v>680</v>
      </c>
      <c r="B51" s="262" t="s">
        <v>681</v>
      </c>
      <c r="C51" s="18">
        <f>May20!O51</f>
        <v>0</v>
      </c>
      <c r="D51" s="6">
        <f>May20!P51</f>
        <v>0</v>
      </c>
      <c r="E51" s="14"/>
      <c r="F51" s="10"/>
      <c r="G51" s="14"/>
      <c r="H51" s="12"/>
      <c r="I51" s="14"/>
      <c r="J51" s="12"/>
      <c r="K51" s="14"/>
      <c r="L51" s="12"/>
      <c r="M51" s="14"/>
      <c r="N51" s="12"/>
      <c r="O51" s="484">
        <f t="shared" si="0"/>
        <v>0</v>
      </c>
      <c r="P51" s="122"/>
      <c r="Q51" s="55"/>
    </row>
    <row r="52" spans="1:17" s="29" customFormat="1" ht="12.75" customHeight="1">
      <c r="A52" s="49" t="s">
        <v>683</v>
      </c>
      <c r="B52" s="262" t="s">
        <v>682</v>
      </c>
      <c r="C52" s="18">
        <f>May20!O52</f>
        <v>0</v>
      </c>
      <c r="D52" s="6">
        <f>May20!P52</f>
        <v>0</v>
      </c>
      <c r="E52" s="13"/>
      <c r="F52" s="10"/>
      <c r="G52" s="14"/>
      <c r="H52" s="12"/>
      <c r="I52" s="14"/>
      <c r="J52" s="12"/>
      <c r="K52" s="14"/>
      <c r="L52" s="12"/>
      <c r="M52" s="14"/>
      <c r="N52" s="12"/>
      <c r="O52" s="484"/>
      <c r="P52" s="122">
        <f aca="true" t="shared" si="2" ref="P52:P66">D52+F52+J52+N52+H52-E52-G52-I52-M52+L52-K52</f>
        <v>0</v>
      </c>
      <c r="Q52" s="55"/>
    </row>
    <row r="53" spans="1:17" s="29" customFormat="1" ht="12.75" customHeight="1">
      <c r="A53" s="49" t="s">
        <v>559</v>
      </c>
      <c r="B53" s="262" t="s">
        <v>558</v>
      </c>
      <c r="C53" s="18">
        <f>May20!O53</f>
        <v>0</v>
      </c>
      <c r="D53" s="6">
        <f>May20!P53</f>
        <v>0</v>
      </c>
      <c r="E53" s="13"/>
      <c r="F53" s="10"/>
      <c r="G53" s="14"/>
      <c r="H53" s="12"/>
      <c r="I53" s="14"/>
      <c r="J53" s="12"/>
      <c r="K53" s="14"/>
      <c r="L53" s="12"/>
      <c r="M53" s="14"/>
      <c r="N53" s="12"/>
      <c r="O53" s="484">
        <f t="shared" si="0"/>
        <v>0</v>
      </c>
      <c r="P53" s="122"/>
      <c r="Q53" s="55"/>
    </row>
    <row r="54" spans="1:16" s="29" customFormat="1" ht="12.75">
      <c r="A54" s="54" t="s">
        <v>15</v>
      </c>
      <c r="B54" s="262" t="s">
        <v>132</v>
      </c>
      <c r="C54" s="18">
        <f>May20!O54</f>
        <v>327763.39</v>
      </c>
      <c r="D54" s="6">
        <f>May20!P54</f>
        <v>0</v>
      </c>
      <c r="E54" s="14"/>
      <c r="F54" s="10"/>
      <c r="G54" s="14"/>
      <c r="H54" s="12"/>
      <c r="I54" s="14"/>
      <c r="J54" s="12"/>
      <c r="K54" s="14"/>
      <c r="L54" s="12"/>
      <c r="M54" s="14"/>
      <c r="N54" s="12"/>
      <c r="O54" s="484">
        <f t="shared" si="0"/>
        <v>327763.39</v>
      </c>
      <c r="P54" s="122">
        <f t="shared" si="2"/>
        <v>0</v>
      </c>
    </row>
    <row r="55" spans="1:16" s="29" customFormat="1" ht="12.75">
      <c r="A55" s="8"/>
      <c r="B55" s="249"/>
      <c r="C55" s="18">
        <f>May20!O55</f>
        <v>0</v>
      </c>
      <c r="D55" s="6">
        <f>May20!P55</f>
        <v>0</v>
      </c>
      <c r="E55" s="14"/>
      <c r="F55" s="10"/>
      <c r="G55" s="14"/>
      <c r="H55" s="12"/>
      <c r="I55" s="14"/>
      <c r="J55" s="12"/>
      <c r="K55" s="14"/>
      <c r="L55" s="12"/>
      <c r="M55" s="14"/>
      <c r="N55" s="12"/>
      <c r="O55" s="484">
        <f t="shared" si="0"/>
        <v>0</v>
      </c>
      <c r="P55" s="122">
        <f t="shared" si="2"/>
        <v>0</v>
      </c>
    </row>
    <row r="56" spans="1:17" s="29" customFormat="1" ht="12.75">
      <c r="A56" s="7" t="s">
        <v>16</v>
      </c>
      <c r="B56" s="249"/>
      <c r="C56" s="18">
        <f>May20!O56</f>
        <v>0</v>
      </c>
      <c r="D56" s="6">
        <f>May20!P56</f>
        <v>0</v>
      </c>
      <c r="E56" s="13"/>
      <c r="F56" s="10"/>
      <c r="G56" s="14"/>
      <c r="H56" s="12"/>
      <c r="I56" s="14"/>
      <c r="J56" s="12"/>
      <c r="K56" s="14"/>
      <c r="L56" s="12"/>
      <c r="M56" s="14"/>
      <c r="N56" s="486"/>
      <c r="O56" s="484"/>
      <c r="P56" s="122">
        <f t="shared" si="2"/>
        <v>0</v>
      </c>
      <c r="Q56" s="55"/>
    </row>
    <row r="57" spans="1:17" s="29" customFormat="1" ht="12.75">
      <c r="A57" s="49" t="s">
        <v>31</v>
      </c>
      <c r="B57" s="262" t="s">
        <v>133</v>
      </c>
      <c r="C57" s="18">
        <f>May20!O57</f>
        <v>0</v>
      </c>
      <c r="D57" s="6">
        <f>May20!P57</f>
        <v>35250</v>
      </c>
      <c r="E57" s="13"/>
      <c r="F57" s="10"/>
      <c r="G57" s="14"/>
      <c r="H57" s="12"/>
      <c r="I57" s="14"/>
      <c r="J57" s="12"/>
      <c r="K57" s="14"/>
      <c r="L57" s="12"/>
      <c r="M57" s="14"/>
      <c r="N57" s="12"/>
      <c r="O57" s="484"/>
      <c r="P57" s="122">
        <f t="shared" si="2"/>
        <v>35250</v>
      </c>
      <c r="Q57" s="55"/>
    </row>
    <row r="58" spans="1:17" s="29" customFormat="1" ht="12.75">
      <c r="A58" s="49" t="s">
        <v>46</v>
      </c>
      <c r="B58" s="262" t="s">
        <v>134</v>
      </c>
      <c r="C58" s="18">
        <f>May20!O58</f>
        <v>0</v>
      </c>
      <c r="D58" s="6">
        <f>May20!P58</f>
        <v>217144.60000000003</v>
      </c>
      <c r="E58" s="14"/>
      <c r="F58" s="10">
        <v>275339.65</v>
      </c>
      <c r="G58" s="14"/>
      <c r="H58" s="12"/>
      <c r="I58" s="14"/>
      <c r="J58" s="12"/>
      <c r="K58" s="14"/>
      <c r="L58" s="12"/>
      <c r="M58" s="14">
        <v>217144.6</v>
      </c>
      <c r="N58" s="12"/>
      <c r="O58" s="484"/>
      <c r="P58" s="122">
        <f t="shared" si="2"/>
        <v>275339.65</v>
      </c>
      <c r="Q58" s="55"/>
    </row>
    <row r="59" spans="1:16" s="29" customFormat="1" ht="12.75">
      <c r="A59" s="74" t="s">
        <v>685</v>
      </c>
      <c r="B59" s="264" t="s">
        <v>684</v>
      </c>
      <c r="C59" s="18">
        <f>May20!O59</f>
        <v>0</v>
      </c>
      <c r="D59" s="6">
        <f>May20!P59</f>
        <v>628691.9100000001</v>
      </c>
      <c r="E59" s="14">
        <v>172136.7</v>
      </c>
      <c r="F59" s="10">
        <v>97212.06</v>
      </c>
      <c r="G59" s="14"/>
      <c r="H59" s="12"/>
      <c r="I59" s="14"/>
      <c r="J59" s="12"/>
      <c r="K59" s="14"/>
      <c r="L59" s="12"/>
      <c r="M59" s="14"/>
      <c r="N59" s="486"/>
      <c r="O59" s="484"/>
      <c r="P59" s="122">
        <f t="shared" si="2"/>
        <v>553767.2700000003</v>
      </c>
    </row>
    <row r="60" spans="1:17" s="29" customFormat="1" ht="12.75">
      <c r="A60" s="74" t="s">
        <v>686</v>
      </c>
      <c r="B60" s="264" t="s">
        <v>688</v>
      </c>
      <c r="C60" s="18">
        <f>May20!O60</f>
        <v>0</v>
      </c>
      <c r="D60" s="6">
        <f>May20!P60</f>
        <v>10448.25999999998</v>
      </c>
      <c r="E60" s="13">
        <v>96134.74</v>
      </c>
      <c r="F60" s="10">
        <v>96134.74</v>
      </c>
      <c r="G60" s="14"/>
      <c r="H60" s="12"/>
      <c r="I60" s="14"/>
      <c r="J60" s="12"/>
      <c r="K60" s="14"/>
      <c r="L60" s="12"/>
      <c r="M60" s="14"/>
      <c r="N60" s="12"/>
      <c r="O60" s="484"/>
      <c r="P60" s="122">
        <f t="shared" si="2"/>
        <v>10448.25999999998</v>
      </c>
      <c r="Q60" s="55"/>
    </row>
    <row r="61" spans="1:16" s="29" customFormat="1" ht="12.75">
      <c r="A61" s="74" t="s">
        <v>687</v>
      </c>
      <c r="B61" s="264" t="s">
        <v>689</v>
      </c>
      <c r="C61" s="18">
        <f>May20!O61</f>
        <v>0</v>
      </c>
      <c r="D61" s="6">
        <f>May20!P61</f>
        <v>11777.86</v>
      </c>
      <c r="E61" s="13">
        <v>30945.84</v>
      </c>
      <c r="F61" s="10">
        <v>30945.84</v>
      </c>
      <c r="G61" s="27"/>
      <c r="H61" s="28"/>
      <c r="I61" s="27"/>
      <c r="J61" s="28"/>
      <c r="K61" s="27"/>
      <c r="L61" s="28"/>
      <c r="M61" s="27"/>
      <c r="N61" s="28"/>
      <c r="O61" s="484"/>
      <c r="P61" s="122">
        <f t="shared" si="2"/>
        <v>11777.859999999997</v>
      </c>
    </row>
    <row r="62" spans="1:16" s="29" customFormat="1" ht="12.75">
      <c r="A62" s="49" t="s">
        <v>690</v>
      </c>
      <c r="B62" s="262" t="s">
        <v>692</v>
      </c>
      <c r="C62" s="18">
        <f>May20!O62</f>
        <v>0</v>
      </c>
      <c r="D62" s="6">
        <f>May20!P62</f>
        <v>14580.4</v>
      </c>
      <c r="E62" s="14">
        <v>12038.72</v>
      </c>
      <c r="F62" s="10">
        <v>2984.68</v>
      </c>
      <c r="G62" s="27"/>
      <c r="H62" s="28"/>
      <c r="I62" s="27"/>
      <c r="J62" s="28"/>
      <c r="K62" s="27"/>
      <c r="L62" s="28"/>
      <c r="M62" s="27"/>
      <c r="N62" s="28"/>
      <c r="O62" s="484"/>
      <c r="P62" s="122">
        <f t="shared" si="2"/>
        <v>5526.359999999999</v>
      </c>
    </row>
    <row r="63" spans="1:17" s="29" customFormat="1" ht="12.75">
      <c r="A63" s="49" t="s">
        <v>691</v>
      </c>
      <c r="B63" s="262" t="s">
        <v>693</v>
      </c>
      <c r="C63" s="18">
        <f>May20!O63</f>
        <v>0</v>
      </c>
      <c r="D63" s="6">
        <f>May20!P63</f>
        <v>3309.66</v>
      </c>
      <c r="E63" s="14">
        <v>1633.32</v>
      </c>
      <c r="F63" s="10">
        <v>408.33</v>
      </c>
      <c r="G63" s="27"/>
      <c r="H63" s="28"/>
      <c r="I63" s="27"/>
      <c r="J63" s="28"/>
      <c r="K63" s="27"/>
      <c r="L63" s="28"/>
      <c r="M63" s="27"/>
      <c r="N63" s="28"/>
      <c r="O63" s="484"/>
      <c r="P63" s="122">
        <f t="shared" si="2"/>
        <v>2084.67</v>
      </c>
      <c r="Q63" s="275"/>
    </row>
    <row r="64" spans="1:17" s="29" customFormat="1" ht="12.75">
      <c r="A64" s="49" t="s">
        <v>47</v>
      </c>
      <c r="B64" s="262" t="s">
        <v>137</v>
      </c>
      <c r="C64" s="18">
        <f>May20!O64</f>
        <v>0</v>
      </c>
      <c r="D64" s="6">
        <f>May20!P64</f>
        <v>28071.15000000001</v>
      </c>
      <c r="E64" s="13">
        <v>24712.44</v>
      </c>
      <c r="F64" s="10">
        <v>12356.25</v>
      </c>
      <c r="G64" s="27"/>
      <c r="H64" s="28"/>
      <c r="I64" s="27"/>
      <c r="J64" s="28"/>
      <c r="K64" s="27"/>
      <c r="L64" s="28"/>
      <c r="M64" s="27"/>
      <c r="N64" s="28"/>
      <c r="O64" s="484"/>
      <c r="P64" s="122">
        <f t="shared" si="2"/>
        <v>15714.96000000001</v>
      </c>
      <c r="Q64" s="275"/>
    </row>
    <row r="65" spans="1:17" s="29" customFormat="1" ht="12.75">
      <c r="A65" s="74" t="s">
        <v>59</v>
      </c>
      <c r="B65" s="264" t="s">
        <v>138</v>
      </c>
      <c r="C65" s="18">
        <f>May20!O65</f>
        <v>0</v>
      </c>
      <c r="D65" s="6">
        <f>May20!P65</f>
        <v>102685.61000000002</v>
      </c>
      <c r="E65" s="13">
        <v>176679.96</v>
      </c>
      <c r="F65" s="10">
        <v>85781.78</v>
      </c>
      <c r="G65" s="27"/>
      <c r="H65" s="28"/>
      <c r="I65" s="27"/>
      <c r="J65" s="28"/>
      <c r="K65" s="27"/>
      <c r="L65" s="28"/>
      <c r="M65" s="27">
        <v>3388.06</v>
      </c>
      <c r="N65" s="28"/>
      <c r="O65" s="484"/>
      <c r="P65" s="122">
        <f t="shared" si="2"/>
        <v>8399.370000000023</v>
      </c>
      <c r="Q65" s="275"/>
    </row>
    <row r="66" spans="1:17" s="29" customFormat="1" ht="12.75">
      <c r="A66" s="49" t="s">
        <v>17</v>
      </c>
      <c r="B66" s="262" t="s">
        <v>139</v>
      </c>
      <c r="C66" s="18">
        <f>May20!O66</f>
        <v>0</v>
      </c>
      <c r="D66" s="6">
        <f>May20!P66</f>
        <v>0</v>
      </c>
      <c r="E66" s="14"/>
      <c r="F66" s="10"/>
      <c r="G66" s="27"/>
      <c r="H66" s="28"/>
      <c r="I66" s="27"/>
      <c r="J66" s="28"/>
      <c r="K66" s="27"/>
      <c r="L66" s="28"/>
      <c r="M66" s="27"/>
      <c r="N66" s="28"/>
      <c r="O66" s="484"/>
      <c r="P66" s="122">
        <f t="shared" si="2"/>
        <v>0</v>
      </c>
      <c r="Q66" s="275"/>
    </row>
    <row r="67" spans="1:17" s="29" customFormat="1" ht="12.75">
      <c r="A67" s="8"/>
      <c r="B67" s="249"/>
      <c r="C67" s="18">
        <f>May20!O67</f>
        <v>0</v>
      </c>
      <c r="D67" s="6">
        <f>May20!P67</f>
        <v>0</v>
      </c>
      <c r="E67" s="14"/>
      <c r="F67" s="10"/>
      <c r="G67" s="27"/>
      <c r="H67" s="28"/>
      <c r="I67" s="27"/>
      <c r="J67" s="28"/>
      <c r="K67" s="27"/>
      <c r="L67" s="28"/>
      <c r="M67" s="27"/>
      <c r="N67" s="28"/>
      <c r="O67" s="484"/>
      <c r="P67" s="122"/>
      <c r="Q67" s="275"/>
    </row>
    <row r="68" spans="1:17" s="29" customFormat="1" ht="12.75">
      <c r="A68" s="7" t="s">
        <v>32</v>
      </c>
      <c r="B68" s="249"/>
      <c r="C68" s="18">
        <f>May20!O68</f>
        <v>0</v>
      </c>
      <c r="D68" s="6">
        <f>May20!P68</f>
        <v>0</v>
      </c>
      <c r="E68" s="13"/>
      <c r="F68" s="10"/>
      <c r="G68" s="27"/>
      <c r="H68" s="28"/>
      <c r="I68" s="27"/>
      <c r="J68" s="28"/>
      <c r="K68" s="27"/>
      <c r="L68" s="28"/>
      <c r="M68" s="27"/>
      <c r="N68" s="28"/>
      <c r="O68" s="484"/>
      <c r="P68" s="122"/>
      <c r="Q68" s="275"/>
    </row>
    <row r="69" spans="1:17" s="29" customFormat="1" ht="12.75">
      <c r="A69" s="49" t="s">
        <v>18</v>
      </c>
      <c r="B69" s="262" t="s">
        <v>140</v>
      </c>
      <c r="C69" s="18">
        <f>May20!O69</f>
        <v>0</v>
      </c>
      <c r="D69" s="6">
        <f>May20!P69</f>
        <v>93682852.88</v>
      </c>
      <c r="E69" s="13"/>
      <c r="F69" s="10"/>
      <c r="G69" s="27"/>
      <c r="H69" s="28"/>
      <c r="I69" s="27"/>
      <c r="J69" s="28"/>
      <c r="K69" s="27"/>
      <c r="L69" s="28"/>
      <c r="M69" s="27"/>
      <c r="N69" s="28"/>
      <c r="O69" s="484"/>
      <c r="P69" s="122">
        <f>D69+F69+J69+N69+H69-E69-G69-I69-M69+L69-K69</f>
        <v>93682852.88</v>
      </c>
      <c r="Q69" s="275"/>
    </row>
    <row r="70" spans="1:17" s="29" customFormat="1" ht="13.5" customHeight="1">
      <c r="A70" s="49" t="s">
        <v>142</v>
      </c>
      <c r="B70" s="249" t="s">
        <v>141</v>
      </c>
      <c r="C70" s="18">
        <f>May20!O70</f>
        <v>0</v>
      </c>
      <c r="D70" s="6">
        <f>May20!P70</f>
        <v>62395677.019999996</v>
      </c>
      <c r="E70" s="14"/>
      <c r="F70" s="10"/>
      <c r="G70" s="27"/>
      <c r="H70" s="28"/>
      <c r="I70" s="27"/>
      <c r="J70" s="28"/>
      <c r="K70" s="27"/>
      <c r="L70" s="28"/>
      <c r="M70" s="27"/>
      <c r="N70" s="28">
        <f>1109092+217144.6</f>
        <v>1326236.6</v>
      </c>
      <c r="O70" s="484"/>
      <c r="P70" s="122">
        <f>D70+F70+J70+N70+H70-E70-G70-I70-M70+L70-K70</f>
        <v>63721913.62</v>
      </c>
      <c r="Q70" s="275"/>
    </row>
    <row r="71" spans="1:17" s="29" customFormat="1" ht="13.5" customHeight="1">
      <c r="A71" s="49" t="s">
        <v>673</v>
      </c>
      <c r="B71" s="249" t="s">
        <v>745</v>
      </c>
      <c r="C71" s="18">
        <f>May20!O71</f>
        <v>0</v>
      </c>
      <c r="D71" s="6">
        <f>May20!P71</f>
        <v>20208708.35</v>
      </c>
      <c r="E71" s="14"/>
      <c r="F71" s="10"/>
      <c r="G71" s="27"/>
      <c r="H71" s="28"/>
      <c r="I71" s="27"/>
      <c r="J71" s="28"/>
      <c r="K71" s="27"/>
      <c r="L71" s="28"/>
      <c r="M71" s="27"/>
      <c r="N71" s="28">
        <v>250000</v>
      </c>
      <c r="O71" s="484"/>
      <c r="P71" s="122">
        <f>D71+F71+J71+N71+H71-E71-G71-I71-M71+L71-K71</f>
        <v>20458708.35</v>
      </c>
      <c r="Q71" s="527"/>
    </row>
    <row r="72" spans="1:17" s="29" customFormat="1" ht="12.75" customHeight="1">
      <c r="A72" s="49"/>
      <c r="B72" s="249"/>
      <c r="C72" s="18">
        <f>May20!O72</f>
        <v>0</v>
      </c>
      <c r="D72" s="6">
        <f>May20!P72</f>
        <v>0</v>
      </c>
      <c r="E72" s="14"/>
      <c r="F72" s="10"/>
      <c r="G72" s="27"/>
      <c r="H72" s="28"/>
      <c r="I72" s="27"/>
      <c r="J72" s="28"/>
      <c r="K72" s="27"/>
      <c r="L72" s="28"/>
      <c r="M72" s="27"/>
      <c r="N72" s="28"/>
      <c r="O72" s="484"/>
      <c r="P72" s="62"/>
      <c r="Q72" s="275"/>
    </row>
    <row r="73" spans="1:17" s="29" customFormat="1" ht="12.75">
      <c r="A73" s="4" t="s">
        <v>19</v>
      </c>
      <c r="B73" s="248"/>
      <c r="C73" s="18">
        <f>May20!O73</f>
        <v>0</v>
      </c>
      <c r="D73" s="6">
        <f>May20!P73</f>
        <v>0</v>
      </c>
      <c r="E73" s="13"/>
      <c r="F73" s="10"/>
      <c r="G73" s="27"/>
      <c r="H73" s="28"/>
      <c r="I73" s="27"/>
      <c r="J73" s="28"/>
      <c r="K73" s="27"/>
      <c r="L73" s="28"/>
      <c r="M73" s="27"/>
      <c r="N73" s="28"/>
      <c r="O73" s="484">
        <f t="shared" si="0"/>
        <v>0</v>
      </c>
      <c r="P73" s="62"/>
      <c r="Q73" s="275"/>
    </row>
    <row r="74" spans="1:17" s="29" customFormat="1" ht="12.75">
      <c r="A74" s="23" t="s">
        <v>143</v>
      </c>
      <c r="B74" s="265" t="s">
        <v>144</v>
      </c>
      <c r="C74" s="18">
        <f>May20!O74</f>
        <v>6598548.78</v>
      </c>
      <c r="D74" s="6">
        <f>May20!P74</f>
        <v>0</v>
      </c>
      <c r="E74" s="13">
        <v>1082767.03</v>
      </c>
      <c r="F74" s="10"/>
      <c r="G74" s="27"/>
      <c r="H74" s="28"/>
      <c r="I74" s="27"/>
      <c r="J74" s="28"/>
      <c r="K74" s="27"/>
      <c r="L74" s="28"/>
      <c r="M74" s="27"/>
      <c r="N74" s="28"/>
      <c r="O74" s="484">
        <f t="shared" si="0"/>
        <v>7681315.8100000005</v>
      </c>
      <c r="P74" s="62"/>
      <c r="Q74" s="275"/>
    </row>
    <row r="75" spans="1:17" s="29" customFormat="1" ht="12.75">
      <c r="A75" s="23" t="s">
        <v>20</v>
      </c>
      <c r="B75" s="265" t="s">
        <v>145</v>
      </c>
      <c r="C75" s="18">
        <f>May20!O75</f>
        <v>218000</v>
      </c>
      <c r="D75" s="6">
        <f>May20!P75</f>
        <v>0</v>
      </c>
      <c r="E75" s="14">
        <v>40000</v>
      </c>
      <c r="F75" s="10"/>
      <c r="G75" s="27"/>
      <c r="H75" s="28"/>
      <c r="I75" s="27"/>
      <c r="J75" s="28"/>
      <c r="K75" s="27"/>
      <c r="L75" s="28"/>
      <c r="M75" s="27"/>
      <c r="N75" s="28"/>
      <c r="O75" s="484">
        <f t="shared" si="0"/>
        <v>258000</v>
      </c>
      <c r="P75" s="62"/>
      <c r="Q75" s="275"/>
    </row>
    <row r="76" spans="1:17" s="29" customFormat="1" ht="12.75">
      <c r="A76" s="23" t="s">
        <v>21</v>
      </c>
      <c r="B76" s="265" t="s">
        <v>146</v>
      </c>
      <c r="C76" s="18">
        <f>May20!O76</f>
        <v>95000</v>
      </c>
      <c r="D76" s="6">
        <f>May20!P76</f>
        <v>0</v>
      </c>
      <c r="E76" s="14">
        <v>19000</v>
      </c>
      <c r="F76" s="10"/>
      <c r="G76" s="27"/>
      <c r="H76" s="28"/>
      <c r="I76" s="27"/>
      <c r="J76" s="28"/>
      <c r="K76" s="27"/>
      <c r="L76" s="28"/>
      <c r="M76" s="27"/>
      <c r="N76" s="28"/>
      <c r="O76" s="484">
        <f t="shared" si="0"/>
        <v>114000</v>
      </c>
      <c r="P76" s="62"/>
      <c r="Q76" s="275"/>
    </row>
    <row r="77" spans="1:17" s="29" customFormat="1" ht="12.75">
      <c r="A77" s="23" t="s">
        <v>22</v>
      </c>
      <c r="B77" s="265" t="s">
        <v>147</v>
      </c>
      <c r="C77" s="18">
        <f>May20!O77</f>
        <v>95000</v>
      </c>
      <c r="D77" s="6">
        <f>May20!P77</f>
        <v>0</v>
      </c>
      <c r="E77" s="13">
        <v>19000</v>
      </c>
      <c r="F77" s="10"/>
      <c r="G77" s="27"/>
      <c r="H77" s="28"/>
      <c r="I77" s="27"/>
      <c r="J77" s="28"/>
      <c r="K77" s="27"/>
      <c r="L77" s="28"/>
      <c r="M77" s="27"/>
      <c r="N77" s="28"/>
      <c r="O77" s="484">
        <f t="shared" si="0"/>
        <v>114000</v>
      </c>
      <c r="P77" s="62"/>
      <c r="Q77" s="275"/>
    </row>
    <row r="78" spans="1:17" s="29" customFormat="1" ht="12.75">
      <c r="A78" s="23" t="s">
        <v>67</v>
      </c>
      <c r="B78" s="265" t="s">
        <v>527</v>
      </c>
      <c r="C78" s="18">
        <f>May20!O78</f>
        <v>6000</v>
      </c>
      <c r="D78" s="6">
        <f>May20!P78</f>
        <v>0</v>
      </c>
      <c r="E78" s="13">
        <v>402000</v>
      </c>
      <c r="F78" s="10"/>
      <c r="G78" s="27"/>
      <c r="H78" s="28"/>
      <c r="I78" s="27"/>
      <c r="J78" s="28"/>
      <c r="K78" s="27"/>
      <c r="L78" s="28"/>
      <c r="M78" s="27"/>
      <c r="N78" s="28"/>
      <c r="O78" s="484">
        <f t="shared" si="0"/>
        <v>408000</v>
      </c>
      <c r="P78" s="62"/>
      <c r="Q78" s="275"/>
    </row>
    <row r="79" spans="1:17" s="29" customFormat="1" ht="12.75" hidden="1">
      <c r="A79" s="23" t="s">
        <v>149</v>
      </c>
      <c r="B79" s="265" t="s">
        <v>148</v>
      </c>
      <c r="C79" s="18">
        <f>May20!O79</f>
        <v>0</v>
      </c>
      <c r="D79" s="6">
        <f>May20!P79</f>
        <v>0</v>
      </c>
      <c r="E79" s="14"/>
      <c r="F79" s="10"/>
      <c r="G79" s="27"/>
      <c r="H79" s="28"/>
      <c r="I79" s="27"/>
      <c r="J79" s="28"/>
      <c r="K79" s="27"/>
      <c r="L79" s="28"/>
      <c r="M79" s="27"/>
      <c r="N79" s="28"/>
      <c r="O79" s="484">
        <f t="shared" si="0"/>
        <v>0</v>
      </c>
      <c r="P79" s="62"/>
      <c r="Q79" s="275"/>
    </row>
    <row r="80" spans="1:17" s="29" customFormat="1" ht="12.75" customHeight="1" hidden="1">
      <c r="A80" s="23" t="s">
        <v>66</v>
      </c>
      <c r="B80" s="265" t="s">
        <v>150</v>
      </c>
      <c r="C80" s="18">
        <f>May20!O80</f>
        <v>0</v>
      </c>
      <c r="D80" s="6">
        <f>May20!P80</f>
        <v>0</v>
      </c>
      <c r="E80" s="14"/>
      <c r="F80" s="10"/>
      <c r="G80" s="27"/>
      <c r="H80" s="28"/>
      <c r="I80" s="27"/>
      <c r="J80" s="28"/>
      <c r="K80" s="27"/>
      <c r="L80" s="28"/>
      <c r="M80" s="27"/>
      <c r="N80" s="28"/>
      <c r="O80" s="484">
        <f t="shared" si="0"/>
        <v>0</v>
      </c>
      <c r="P80" s="62"/>
      <c r="Q80" s="275"/>
    </row>
    <row r="81" spans="1:17" s="29" customFormat="1" ht="12.75" hidden="1">
      <c r="A81" s="23" t="s">
        <v>221</v>
      </c>
      <c r="B81" s="265" t="s">
        <v>537</v>
      </c>
      <c r="C81" s="18">
        <f>May20!O81</f>
        <v>0</v>
      </c>
      <c r="D81" s="6">
        <f>May20!P81</f>
        <v>0</v>
      </c>
      <c r="E81" s="13"/>
      <c r="F81" s="10"/>
      <c r="G81" s="27"/>
      <c r="H81" s="28"/>
      <c r="I81" s="27"/>
      <c r="J81" s="28"/>
      <c r="K81" s="27"/>
      <c r="L81" s="28"/>
      <c r="M81" s="27"/>
      <c r="N81" s="28"/>
      <c r="O81" s="484">
        <f t="shared" si="0"/>
        <v>0</v>
      </c>
      <c r="P81" s="62"/>
      <c r="Q81" s="275"/>
    </row>
    <row r="82" spans="1:17" s="29" customFormat="1" ht="12.75">
      <c r="A82" s="23" t="s">
        <v>76</v>
      </c>
      <c r="B82" s="265" t="s">
        <v>153</v>
      </c>
      <c r="C82" s="18">
        <f>May20!O82</f>
        <v>0</v>
      </c>
      <c r="D82" s="6">
        <f>May20!P82</f>
        <v>0</v>
      </c>
      <c r="E82" s="13"/>
      <c r="F82" s="10"/>
      <c r="G82" s="27"/>
      <c r="H82" s="28"/>
      <c r="I82" s="27"/>
      <c r="J82" s="28"/>
      <c r="K82" s="27"/>
      <c r="L82" s="28"/>
      <c r="M82" s="27"/>
      <c r="N82" s="28"/>
      <c r="O82" s="484">
        <f t="shared" si="0"/>
        <v>0</v>
      </c>
      <c r="P82" s="62"/>
      <c r="Q82" s="275"/>
    </row>
    <row r="83" spans="1:17" s="29" customFormat="1" ht="13.5" customHeight="1" hidden="1">
      <c r="A83" s="23" t="s">
        <v>242</v>
      </c>
      <c r="B83" s="265" t="s">
        <v>234</v>
      </c>
      <c r="C83" s="18">
        <f>May20!O83</f>
        <v>0</v>
      </c>
      <c r="D83" s="6">
        <f>May20!P83</f>
        <v>0</v>
      </c>
      <c r="E83" s="14"/>
      <c r="F83" s="10"/>
      <c r="G83" s="27"/>
      <c r="H83" s="28"/>
      <c r="I83" s="27"/>
      <c r="J83" s="28"/>
      <c r="K83" s="27"/>
      <c r="L83" s="28"/>
      <c r="M83" s="27"/>
      <c r="N83" s="28"/>
      <c r="O83" s="484">
        <f t="shared" si="0"/>
        <v>0</v>
      </c>
      <c r="P83" s="62"/>
      <c r="Q83" s="275"/>
    </row>
    <row r="84" spans="1:17" s="29" customFormat="1" ht="12.75" hidden="1">
      <c r="A84" s="23" t="s">
        <v>75</v>
      </c>
      <c r="B84" s="265" t="s">
        <v>152</v>
      </c>
      <c r="C84" s="18">
        <f>May20!O84</f>
        <v>0</v>
      </c>
      <c r="D84" s="6">
        <f>May20!P84</f>
        <v>0</v>
      </c>
      <c r="E84" s="14"/>
      <c r="F84" s="10"/>
      <c r="G84" s="27"/>
      <c r="H84" s="28"/>
      <c r="I84" s="27"/>
      <c r="J84" s="28"/>
      <c r="K84" s="27"/>
      <c r="L84" s="28"/>
      <c r="M84" s="27"/>
      <c r="N84" s="28"/>
      <c r="O84" s="484">
        <f t="shared" si="0"/>
        <v>0</v>
      </c>
      <c r="P84" s="62"/>
      <c r="Q84" s="275"/>
    </row>
    <row r="85" spans="1:17" s="29" customFormat="1" ht="12.75" hidden="1">
      <c r="A85" s="23" t="s">
        <v>70</v>
      </c>
      <c r="B85" s="265" t="s">
        <v>151</v>
      </c>
      <c r="C85" s="18">
        <f>May20!O85</f>
        <v>0</v>
      </c>
      <c r="D85" s="6">
        <f>May20!P85</f>
        <v>0</v>
      </c>
      <c r="E85" s="13"/>
      <c r="F85" s="10"/>
      <c r="G85" s="27"/>
      <c r="H85" s="28"/>
      <c r="I85" s="27"/>
      <c r="J85" s="28"/>
      <c r="K85" s="27"/>
      <c r="L85" s="28"/>
      <c r="M85" s="27"/>
      <c r="N85" s="28"/>
      <c r="O85" s="484">
        <f t="shared" si="0"/>
        <v>0</v>
      </c>
      <c r="P85" s="62"/>
      <c r="Q85" s="275"/>
    </row>
    <row r="86" spans="1:17" s="29" customFormat="1" ht="12.75">
      <c r="A86" s="23" t="s">
        <v>562</v>
      </c>
      <c r="B86" s="265" t="s">
        <v>563</v>
      </c>
      <c r="C86" s="18">
        <f>May20!O86</f>
        <v>193000</v>
      </c>
      <c r="D86" s="6">
        <f>May20!P86</f>
        <v>0</v>
      </c>
      <c r="E86" s="13"/>
      <c r="F86" s="10"/>
      <c r="G86" s="27"/>
      <c r="H86" s="28"/>
      <c r="I86" s="27"/>
      <c r="J86" s="28"/>
      <c r="K86" s="27"/>
      <c r="L86" s="28"/>
      <c r="M86" s="27"/>
      <c r="N86" s="28"/>
      <c r="O86" s="484">
        <f aca="true" t="shared" si="3" ref="O86:O149">C86+E86+I86+M86-D86-F86-J86-N86+G86-H86+K86-L86</f>
        <v>193000</v>
      </c>
      <c r="P86" s="62"/>
      <c r="Q86" s="275"/>
    </row>
    <row r="87" spans="1:17" s="29" customFormat="1" ht="12.75">
      <c r="A87" s="23" t="s">
        <v>564</v>
      </c>
      <c r="B87" s="265" t="s">
        <v>565</v>
      </c>
      <c r="C87" s="18">
        <f>May20!O87</f>
        <v>0</v>
      </c>
      <c r="D87" s="6">
        <f>May20!P87</f>
        <v>0</v>
      </c>
      <c r="E87" s="14"/>
      <c r="F87" s="10"/>
      <c r="G87" s="27"/>
      <c r="H87" s="28"/>
      <c r="I87" s="27"/>
      <c r="J87" s="28"/>
      <c r="K87" s="27"/>
      <c r="L87" s="28"/>
      <c r="M87" s="27"/>
      <c r="N87" s="28"/>
      <c r="O87" s="484">
        <f t="shared" si="3"/>
        <v>0</v>
      </c>
      <c r="P87" s="62"/>
      <c r="Q87" s="275"/>
    </row>
    <row r="88" spans="1:17" s="29" customFormat="1" ht="12.75">
      <c r="A88" s="23" t="s">
        <v>553</v>
      </c>
      <c r="B88" s="265" t="s">
        <v>554</v>
      </c>
      <c r="C88" s="18">
        <f>May20!O88</f>
        <v>0</v>
      </c>
      <c r="D88" s="6">
        <f>May20!P88</f>
        <v>0</v>
      </c>
      <c r="E88" s="14"/>
      <c r="F88" s="10"/>
      <c r="G88" s="27"/>
      <c r="H88" s="28"/>
      <c r="I88" s="27"/>
      <c r="J88" s="28"/>
      <c r="K88" s="27"/>
      <c r="L88" s="28"/>
      <c r="M88" s="27"/>
      <c r="N88" s="28"/>
      <c r="O88" s="484">
        <f t="shared" si="3"/>
        <v>0</v>
      </c>
      <c r="P88" s="62"/>
      <c r="Q88" s="275"/>
    </row>
    <row r="89" spans="1:17" s="29" customFormat="1" ht="12.75">
      <c r="A89" s="23" t="s">
        <v>33</v>
      </c>
      <c r="B89" s="265" t="s">
        <v>154</v>
      </c>
      <c r="C89" s="18">
        <f>May20!O89</f>
        <v>274097.64</v>
      </c>
      <c r="D89" s="6">
        <f>May20!P89</f>
        <v>0</v>
      </c>
      <c r="E89" s="13"/>
      <c r="F89" s="10"/>
      <c r="G89" s="27"/>
      <c r="H89" s="28"/>
      <c r="I89" s="27"/>
      <c r="J89" s="28"/>
      <c r="K89" s="27"/>
      <c r="L89" s="28"/>
      <c r="M89" s="27"/>
      <c r="N89" s="28"/>
      <c r="O89" s="484">
        <f t="shared" si="3"/>
        <v>274097.64</v>
      </c>
      <c r="P89" s="62"/>
      <c r="Q89" s="275"/>
    </row>
    <row r="90" spans="1:17" s="29" customFormat="1" ht="12.75">
      <c r="A90" s="23" t="s">
        <v>34</v>
      </c>
      <c r="B90" s="265" t="s">
        <v>155</v>
      </c>
      <c r="C90" s="18">
        <f>May20!O90</f>
        <v>6769.36</v>
      </c>
      <c r="D90" s="6">
        <f>May20!P90</f>
        <v>0</v>
      </c>
      <c r="E90" s="13">
        <v>12038.72</v>
      </c>
      <c r="F90" s="10"/>
      <c r="G90" s="27"/>
      <c r="H90" s="28"/>
      <c r="I90" s="27"/>
      <c r="J90" s="28"/>
      <c r="K90" s="27"/>
      <c r="L90" s="28"/>
      <c r="M90" s="27"/>
      <c r="N90" s="28"/>
      <c r="O90" s="484">
        <f t="shared" si="3"/>
        <v>18808.079999999998</v>
      </c>
      <c r="P90" s="62"/>
      <c r="Q90" s="275"/>
    </row>
    <row r="91" spans="1:17" s="29" customFormat="1" ht="12.75">
      <c r="A91" s="23" t="s">
        <v>35</v>
      </c>
      <c r="B91" s="265" t="s">
        <v>156</v>
      </c>
      <c r="C91" s="18">
        <f>May20!O91</f>
        <v>67281.67</v>
      </c>
      <c r="D91" s="6">
        <f>May20!P91</f>
        <v>0</v>
      </c>
      <c r="E91" s="14">
        <v>24712.56</v>
      </c>
      <c r="F91" s="10"/>
      <c r="G91" s="27"/>
      <c r="H91" s="28"/>
      <c r="I91" s="27"/>
      <c r="J91" s="28"/>
      <c r="K91" s="27"/>
      <c r="L91" s="28"/>
      <c r="M91" s="27"/>
      <c r="N91" s="28"/>
      <c r="O91" s="484">
        <f t="shared" si="3"/>
        <v>91994.23</v>
      </c>
      <c r="P91" s="62"/>
      <c r="Q91" s="275"/>
    </row>
    <row r="92" spans="1:17" s="29" customFormat="1" ht="12.75">
      <c r="A92" s="23" t="s">
        <v>36</v>
      </c>
      <c r="B92" s="265" t="s">
        <v>157</v>
      </c>
      <c r="C92" s="18">
        <f>May20!O92</f>
        <v>8200</v>
      </c>
      <c r="D92" s="6">
        <f>May20!P92</f>
        <v>0</v>
      </c>
      <c r="E92" s="14">
        <v>3800</v>
      </c>
      <c r="F92" s="10"/>
      <c r="G92" s="27"/>
      <c r="H92" s="28"/>
      <c r="I92" s="27"/>
      <c r="J92" s="28"/>
      <c r="K92" s="27"/>
      <c r="L92" s="28"/>
      <c r="M92" s="27"/>
      <c r="N92" s="28"/>
      <c r="O92" s="484">
        <f t="shared" si="3"/>
        <v>12000</v>
      </c>
      <c r="P92" s="62"/>
      <c r="Q92" s="275"/>
    </row>
    <row r="93" spans="1:17" s="29" customFormat="1" ht="12.75">
      <c r="A93" s="23" t="s">
        <v>698</v>
      </c>
      <c r="B93" s="265" t="s">
        <v>699</v>
      </c>
      <c r="C93" s="18">
        <f>May20!O93</f>
        <v>0</v>
      </c>
      <c r="D93" s="6">
        <f>May20!P93</f>
        <v>0</v>
      </c>
      <c r="E93" s="13"/>
      <c r="F93" s="10"/>
      <c r="G93" s="27"/>
      <c r="H93" s="28"/>
      <c r="I93" s="27"/>
      <c r="J93" s="28"/>
      <c r="K93" s="27"/>
      <c r="L93" s="28"/>
      <c r="M93" s="27"/>
      <c r="N93" s="28"/>
      <c r="O93" s="484">
        <f t="shared" si="3"/>
        <v>0</v>
      </c>
      <c r="P93" s="62"/>
      <c r="Q93" s="275"/>
    </row>
    <row r="94" spans="1:17" s="29" customFormat="1" ht="12.75">
      <c r="A94" s="23" t="s">
        <v>208</v>
      </c>
      <c r="B94" s="265" t="s">
        <v>207</v>
      </c>
      <c r="C94" s="18">
        <f>May20!O94</f>
        <v>1305914</v>
      </c>
      <c r="D94" s="6">
        <f>May20!P94</f>
        <v>0</v>
      </c>
      <c r="E94" s="13"/>
      <c r="F94" s="10"/>
      <c r="G94" s="27"/>
      <c r="H94" s="28"/>
      <c r="I94" s="27"/>
      <c r="J94" s="28"/>
      <c r="K94" s="27"/>
      <c r="L94" s="28"/>
      <c r="M94" s="27">
        <v>129119.81</v>
      </c>
      <c r="N94" s="28"/>
      <c r="O94" s="484">
        <f t="shared" si="3"/>
        <v>1435033.81</v>
      </c>
      <c r="P94" s="62"/>
      <c r="Q94" s="275"/>
    </row>
    <row r="95" spans="1:17" s="29" customFormat="1" ht="12.75">
      <c r="A95" s="23" t="s">
        <v>719</v>
      </c>
      <c r="B95" s="265" t="s">
        <v>720</v>
      </c>
      <c r="C95" s="18">
        <f>May20!O95</f>
        <v>755292</v>
      </c>
      <c r="D95" s="6">
        <f>May20!P95</f>
        <v>0</v>
      </c>
      <c r="E95" s="14"/>
      <c r="F95" s="10"/>
      <c r="G95" s="27"/>
      <c r="H95" s="28"/>
      <c r="I95" s="27"/>
      <c r="J95" s="28"/>
      <c r="K95" s="27"/>
      <c r="L95" s="28"/>
      <c r="M95" s="27"/>
      <c r="N95" s="28"/>
      <c r="O95" s="484">
        <f t="shared" si="3"/>
        <v>755292</v>
      </c>
      <c r="P95" s="62"/>
      <c r="Q95" s="275"/>
    </row>
    <row r="96" spans="1:17" s="29" customFormat="1" ht="12.75">
      <c r="A96" s="23" t="s">
        <v>28</v>
      </c>
      <c r="B96" s="265" t="s">
        <v>158</v>
      </c>
      <c r="C96" s="18">
        <f>May20!O96</f>
        <v>517753.66000000003</v>
      </c>
      <c r="D96" s="6">
        <f>May20!P96</f>
        <v>0</v>
      </c>
      <c r="E96" s="14">
        <v>26439.94</v>
      </c>
      <c r="F96" s="10"/>
      <c r="G96" s="27"/>
      <c r="H96" s="28"/>
      <c r="I96" s="27"/>
      <c r="J96" s="28"/>
      <c r="K96" s="27"/>
      <c r="L96" s="28"/>
      <c r="M96" s="27"/>
      <c r="N96" s="28"/>
      <c r="O96" s="484">
        <f t="shared" si="3"/>
        <v>544193.6</v>
      </c>
      <c r="P96" s="62"/>
      <c r="Q96" s="275"/>
    </row>
    <row r="97" spans="1:17" s="29" customFormat="1" ht="12.75">
      <c r="A97" s="23" t="s">
        <v>243</v>
      </c>
      <c r="B97" s="265" t="s">
        <v>236</v>
      </c>
      <c r="C97" s="18">
        <f>May20!O97</f>
        <v>0</v>
      </c>
      <c r="D97" s="6">
        <f>May20!P97</f>
        <v>0</v>
      </c>
      <c r="E97" s="13"/>
      <c r="F97" s="10"/>
      <c r="G97" s="27"/>
      <c r="H97" s="28"/>
      <c r="I97" s="27"/>
      <c r="J97" s="28"/>
      <c r="K97" s="27"/>
      <c r="L97" s="28"/>
      <c r="M97" s="27"/>
      <c r="N97" s="28"/>
      <c r="O97" s="484">
        <f t="shared" si="3"/>
        <v>0</v>
      </c>
      <c r="P97" s="62"/>
      <c r="Q97" s="275"/>
    </row>
    <row r="98" spans="1:17" s="29" customFormat="1" ht="12.75">
      <c r="A98" s="23" t="s">
        <v>27</v>
      </c>
      <c r="B98" s="265" t="s">
        <v>159</v>
      </c>
      <c r="C98" s="18">
        <f>May20!O98</f>
        <v>2040677.25</v>
      </c>
      <c r="D98" s="6">
        <f>May20!P98</f>
        <v>0</v>
      </c>
      <c r="E98" s="13">
        <v>1069664</v>
      </c>
      <c r="F98" s="10"/>
      <c r="G98" s="27"/>
      <c r="H98" s="28"/>
      <c r="I98" s="27"/>
      <c r="J98" s="28"/>
      <c r="K98" s="27"/>
      <c r="L98" s="28"/>
      <c r="M98" s="27"/>
      <c r="N98" s="28"/>
      <c r="O98" s="484">
        <f t="shared" si="3"/>
        <v>3110341.25</v>
      </c>
      <c r="P98" s="62"/>
      <c r="Q98" s="275"/>
    </row>
    <row r="99" spans="1:17" s="29" customFormat="1" ht="12.75">
      <c r="A99" s="23" t="s">
        <v>160</v>
      </c>
      <c r="B99" s="265" t="s">
        <v>161</v>
      </c>
      <c r="C99" s="18">
        <f>May20!O99</f>
        <v>0</v>
      </c>
      <c r="D99" s="6">
        <f>May20!P99</f>
        <v>0</v>
      </c>
      <c r="E99" s="14"/>
      <c r="F99" s="10"/>
      <c r="G99" s="27"/>
      <c r="H99" s="28"/>
      <c r="I99" s="27"/>
      <c r="J99" s="28"/>
      <c r="K99" s="27"/>
      <c r="L99" s="28"/>
      <c r="M99" s="27"/>
      <c r="N99" s="28"/>
      <c r="O99" s="484">
        <f t="shared" si="3"/>
        <v>0</v>
      </c>
      <c r="P99" s="62"/>
      <c r="Q99" s="275"/>
    </row>
    <row r="100" spans="1:17" s="29" customFormat="1" ht="12.75">
      <c r="A100" s="23" t="s">
        <v>61</v>
      </c>
      <c r="B100" s="265" t="s">
        <v>162</v>
      </c>
      <c r="C100" s="18">
        <f>May20!O100</f>
        <v>5800.25</v>
      </c>
      <c r="D100" s="6">
        <f>May20!P100</f>
        <v>0</v>
      </c>
      <c r="E100" s="14">
        <v>901.5</v>
      </c>
      <c r="F100" s="10"/>
      <c r="G100" s="27"/>
      <c r="H100" s="28"/>
      <c r="I100" s="27"/>
      <c r="J100" s="28"/>
      <c r="K100" s="27"/>
      <c r="L100" s="28"/>
      <c r="M100" s="27"/>
      <c r="N100" s="28"/>
      <c r="O100" s="484">
        <f t="shared" si="3"/>
        <v>6701.75</v>
      </c>
      <c r="P100" s="62"/>
      <c r="Q100" s="275"/>
    </row>
    <row r="101" spans="1:17" s="29" customFormat="1" ht="12.75">
      <c r="A101" s="23" t="s">
        <v>56</v>
      </c>
      <c r="B101" s="265" t="s">
        <v>163</v>
      </c>
      <c r="C101" s="18">
        <f>May20!O101</f>
        <v>0</v>
      </c>
      <c r="D101" s="6">
        <f>May20!P101</f>
        <v>0</v>
      </c>
      <c r="E101" s="13"/>
      <c r="F101" s="10"/>
      <c r="G101" s="27"/>
      <c r="H101" s="28"/>
      <c r="I101" s="27"/>
      <c r="J101" s="28"/>
      <c r="K101" s="27"/>
      <c r="L101" s="28"/>
      <c r="M101" s="27"/>
      <c r="N101" s="28"/>
      <c r="O101" s="484">
        <f t="shared" si="3"/>
        <v>0</v>
      </c>
      <c r="P101" s="62"/>
      <c r="Q101" s="275"/>
    </row>
    <row r="102" spans="1:17" s="29" customFormat="1" ht="12.75">
      <c r="A102" s="23" t="s">
        <v>217</v>
      </c>
      <c r="B102" s="265" t="s">
        <v>218</v>
      </c>
      <c r="C102" s="18">
        <f>May20!O102</f>
        <v>0</v>
      </c>
      <c r="D102" s="6">
        <f>May20!P102</f>
        <v>0</v>
      </c>
      <c r="E102" s="13"/>
      <c r="F102" s="10"/>
      <c r="G102" s="27"/>
      <c r="H102" s="28"/>
      <c r="I102" s="27"/>
      <c r="J102" s="28"/>
      <c r="K102" s="27"/>
      <c r="L102" s="28"/>
      <c r="M102" s="27"/>
      <c r="N102" s="28"/>
      <c r="O102" s="484">
        <f t="shared" si="3"/>
        <v>0</v>
      </c>
      <c r="P102" s="62"/>
      <c r="Q102" s="275"/>
    </row>
    <row r="103" spans="1:17" s="29" customFormat="1" ht="12.75">
      <c r="A103" s="23" t="s">
        <v>164</v>
      </c>
      <c r="B103" s="265" t="s">
        <v>165</v>
      </c>
      <c r="C103" s="18">
        <f>May20!O103</f>
        <v>11025</v>
      </c>
      <c r="D103" s="6">
        <f>May20!P103</f>
        <v>0</v>
      </c>
      <c r="E103" s="14">
        <v>20298.26</v>
      </c>
      <c r="F103" s="10"/>
      <c r="G103" s="27"/>
      <c r="H103" s="28"/>
      <c r="I103" s="27"/>
      <c r="J103" s="28"/>
      <c r="K103" s="27"/>
      <c r="L103" s="28"/>
      <c r="M103" s="27"/>
      <c r="N103" s="28"/>
      <c r="O103" s="484">
        <f t="shared" si="3"/>
        <v>31323.26</v>
      </c>
      <c r="P103" s="62"/>
      <c r="Q103" s="275"/>
    </row>
    <row r="104" spans="1:17" s="29" customFormat="1" ht="12.75">
      <c r="A104" s="23" t="s">
        <v>570</v>
      </c>
      <c r="B104" s="265" t="s">
        <v>556</v>
      </c>
      <c r="C104" s="18">
        <f>May20!O104</f>
        <v>0</v>
      </c>
      <c r="D104" s="6">
        <f>May20!P104</f>
        <v>0</v>
      </c>
      <c r="E104" s="14"/>
      <c r="F104" s="10"/>
      <c r="G104" s="27"/>
      <c r="H104" s="28"/>
      <c r="I104" s="27"/>
      <c r="J104" s="28"/>
      <c r="K104" s="27"/>
      <c r="L104" s="28"/>
      <c r="M104" s="27"/>
      <c r="N104" s="28"/>
      <c r="O104" s="484">
        <f t="shared" si="3"/>
        <v>0</v>
      </c>
      <c r="P104" s="62"/>
      <c r="Q104" s="275"/>
    </row>
    <row r="105" spans="1:17" s="29" customFormat="1" ht="12.75">
      <c r="A105" s="23" t="s">
        <v>535</v>
      </c>
      <c r="B105" s="265" t="s">
        <v>521</v>
      </c>
      <c r="C105" s="18">
        <f>May20!O105</f>
        <v>0</v>
      </c>
      <c r="D105" s="6">
        <f>May20!P105</f>
        <v>0</v>
      </c>
      <c r="E105" s="13"/>
      <c r="F105" s="10"/>
      <c r="G105" s="27"/>
      <c r="H105" s="28"/>
      <c r="I105" s="27"/>
      <c r="J105" s="28"/>
      <c r="K105" s="27"/>
      <c r="L105" s="28"/>
      <c r="M105" s="27"/>
      <c r="N105" s="28"/>
      <c r="O105" s="484">
        <f t="shared" si="3"/>
        <v>0</v>
      </c>
      <c r="P105" s="62"/>
      <c r="Q105" s="275"/>
    </row>
    <row r="106" spans="1:17" s="29" customFormat="1" ht="12.75">
      <c r="A106" s="23" t="s">
        <v>536</v>
      </c>
      <c r="B106" s="265" t="s">
        <v>522</v>
      </c>
      <c r="C106" s="18">
        <f>May20!O106</f>
        <v>0</v>
      </c>
      <c r="D106" s="6">
        <f>May20!P106</f>
        <v>0</v>
      </c>
      <c r="E106" s="13"/>
      <c r="F106" s="10"/>
      <c r="G106" s="27"/>
      <c r="H106" s="28"/>
      <c r="I106" s="27"/>
      <c r="J106" s="28"/>
      <c r="K106" s="27"/>
      <c r="L106" s="28"/>
      <c r="M106" s="27"/>
      <c r="N106" s="28"/>
      <c r="O106" s="484">
        <f t="shared" si="3"/>
        <v>0</v>
      </c>
      <c r="P106" s="62"/>
      <c r="Q106" s="275"/>
    </row>
    <row r="107" spans="1:17" s="29" customFormat="1" ht="12.75" hidden="1">
      <c r="A107" s="23" t="s">
        <v>571</v>
      </c>
      <c r="B107" s="265" t="s">
        <v>572</v>
      </c>
      <c r="C107" s="18">
        <f>May20!O107</f>
        <v>0</v>
      </c>
      <c r="D107" s="6">
        <f>May20!P107</f>
        <v>0</v>
      </c>
      <c r="E107" s="14"/>
      <c r="F107" s="10"/>
      <c r="G107" s="27"/>
      <c r="H107" s="28"/>
      <c r="I107" s="27"/>
      <c r="J107" s="28"/>
      <c r="K107" s="27"/>
      <c r="L107" s="28"/>
      <c r="M107" s="27"/>
      <c r="N107" s="28"/>
      <c r="O107" s="484">
        <f t="shared" si="3"/>
        <v>0</v>
      </c>
      <c r="P107" s="62"/>
      <c r="Q107" s="275"/>
    </row>
    <row r="108" spans="1:17" s="29" customFormat="1" ht="12.75" hidden="1">
      <c r="A108" s="23" t="s">
        <v>573</v>
      </c>
      <c r="B108" s="265" t="s">
        <v>557</v>
      </c>
      <c r="C108" s="18">
        <f>May20!O108</f>
        <v>0</v>
      </c>
      <c r="D108" s="6">
        <f>May20!P108</f>
        <v>0</v>
      </c>
      <c r="E108" s="14"/>
      <c r="F108" s="10"/>
      <c r="G108" s="27"/>
      <c r="H108" s="28"/>
      <c r="I108" s="27"/>
      <c r="J108" s="28"/>
      <c r="K108" s="27"/>
      <c r="L108" s="28"/>
      <c r="M108" s="27"/>
      <c r="N108" s="28"/>
      <c r="O108" s="484">
        <f t="shared" si="3"/>
        <v>0</v>
      </c>
      <c r="P108" s="62"/>
      <c r="Q108" s="275"/>
    </row>
    <row r="109" spans="1:17" s="29" customFormat="1" ht="12.75" hidden="1">
      <c r="A109" s="23" t="s">
        <v>241</v>
      </c>
      <c r="B109" s="265" t="s">
        <v>235</v>
      </c>
      <c r="C109" s="18">
        <f>May20!O109</f>
        <v>0</v>
      </c>
      <c r="D109" s="6">
        <f>May20!P109</f>
        <v>0</v>
      </c>
      <c r="E109" s="13"/>
      <c r="F109" s="10"/>
      <c r="G109" s="27"/>
      <c r="H109" s="28"/>
      <c r="I109" s="27"/>
      <c r="J109" s="28"/>
      <c r="K109" s="27"/>
      <c r="L109" s="28"/>
      <c r="M109" s="27"/>
      <c r="N109" s="28"/>
      <c r="O109" s="484">
        <f t="shared" si="3"/>
        <v>0</v>
      </c>
      <c r="P109" s="62"/>
      <c r="Q109" s="275"/>
    </row>
    <row r="110" spans="1:17" s="29" customFormat="1" ht="12.75">
      <c r="A110" s="23" t="s">
        <v>166</v>
      </c>
      <c r="B110" s="265" t="s">
        <v>167</v>
      </c>
      <c r="C110" s="18">
        <f>May20!O110</f>
        <v>0</v>
      </c>
      <c r="D110" s="6">
        <f>May20!P110</f>
        <v>0</v>
      </c>
      <c r="E110" s="13">
        <v>1779.25</v>
      </c>
      <c r="F110" s="10"/>
      <c r="G110" s="27"/>
      <c r="H110" s="28"/>
      <c r="I110" s="27"/>
      <c r="J110" s="28"/>
      <c r="K110" s="27"/>
      <c r="L110" s="28"/>
      <c r="M110" s="27"/>
      <c r="N110" s="28"/>
      <c r="O110" s="484">
        <f t="shared" si="3"/>
        <v>1779.25</v>
      </c>
      <c r="P110" s="62"/>
      <c r="Q110" s="275"/>
    </row>
    <row r="111" spans="1:17" s="29" customFormat="1" ht="12.75">
      <c r="A111" s="23" t="s">
        <v>37</v>
      </c>
      <c r="B111" s="265" t="s">
        <v>168</v>
      </c>
      <c r="C111" s="18">
        <f>May20!O111</f>
        <v>2652.2</v>
      </c>
      <c r="D111" s="6">
        <f>May20!P111</f>
        <v>0</v>
      </c>
      <c r="E111" s="14">
        <v>780</v>
      </c>
      <c r="F111" s="10"/>
      <c r="G111" s="27"/>
      <c r="H111" s="28"/>
      <c r="I111" s="27"/>
      <c r="J111" s="28"/>
      <c r="K111" s="27"/>
      <c r="L111" s="28"/>
      <c r="M111" s="27">
        <v>2469.6</v>
      </c>
      <c r="N111" s="28"/>
      <c r="O111" s="484">
        <f t="shared" si="3"/>
        <v>5901.799999999999</v>
      </c>
      <c r="P111" s="62"/>
      <c r="Q111" s="275"/>
    </row>
    <row r="112" spans="1:17" s="29" customFormat="1" ht="12.75">
      <c r="A112" s="23" t="s">
        <v>43</v>
      </c>
      <c r="B112" s="265" t="s">
        <v>169</v>
      </c>
      <c r="C112" s="18">
        <f>May20!O112</f>
        <v>33271.08</v>
      </c>
      <c r="D112" s="6">
        <f>May20!P112</f>
        <v>0</v>
      </c>
      <c r="E112" s="14">
        <v>18537</v>
      </c>
      <c r="F112" s="10"/>
      <c r="G112" s="27"/>
      <c r="H112" s="28"/>
      <c r="I112" s="27"/>
      <c r="J112" s="28"/>
      <c r="K112" s="27"/>
      <c r="L112" s="28"/>
      <c r="M112" s="27">
        <v>30309.51</v>
      </c>
      <c r="N112" s="28"/>
      <c r="O112" s="484">
        <f t="shared" si="3"/>
        <v>82117.59</v>
      </c>
      <c r="P112" s="62"/>
      <c r="Q112" s="275"/>
    </row>
    <row r="113" spans="1:17" s="29" customFormat="1" ht="12.75">
      <c r="A113" s="23" t="s">
        <v>694</v>
      </c>
      <c r="B113" s="265" t="s">
        <v>695</v>
      </c>
      <c r="C113" s="18">
        <f>May20!O113</f>
        <v>0</v>
      </c>
      <c r="D113" s="6">
        <f>May20!P113</f>
        <v>0</v>
      </c>
      <c r="E113" s="13"/>
      <c r="F113" s="10"/>
      <c r="G113" s="27"/>
      <c r="H113" s="28"/>
      <c r="I113" s="27"/>
      <c r="J113" s="28"/>
      <c r="K113" s="27"/>
      <c r="L113" s="28"/>
      <c r="M113" s="27"/>
      <c r="N113" s="28"/>
      <c r="O113" s="484">
        <f t="shared" si="3"/>
        <v>0</v>
      </c>
      <c r="P113" s="62"/>
      <c r="Q113" s="275"/>
    </row>
    <row r="114" spans="1:17" s="29" customFormat="1" ht="12.75">
      <c r="A114" s="23" t="s">
        <v>29</v>
      </c>
      <c r="B114" s="265" t="s">
        <v>170</v>
      </c>
      <c r="C114" s="18">
        <f>May20!O114</f>
        <v>20696.8</v>
      </c>
      <c r="D114" s="6">
        <f>May20!P114</f>
        <v>0</v>
      </c>
      <c r="E114" s="13">
        <v>2915.5</v>
      </c>
      <c r="F114" s="10"/>
      <c r="G114" s="27"/>
      <c r="H114" s="28"/>
      <c r="I114" s="27"/>
      <c r="J114" s="28"/>
      <c r="K114" s="27"/>
      <c r="L114" s="28"/>
      <c r="M114" s="27"/>
      <c r="N114" s="28"/>
      <c r="O114" s="484">
        <f t="shared" si="3"/>
        <v>23612.3</v>
      </c>
      <c r="P114" s="62"/>
      <c r="Q114" s="275"/>
    </row>
    <row r="115" spans="1:17" s="29" customFormat="1" ht="12.75">
      <c r="A115" s="23" t="s">
        <v>194</v>
      </c>
      <c r="B115" s="265" t="s">
        <v>196</v>
      </c>
      <c r="C115" s="18">
        <f>May20!O115</f>
        <v>34201.93</v>
      </c>
      <c r="D115" s="6">
        <f>May20!P115</f>
        <v>0</v>
      </c>
      <c r="E115" s="14">
        <v>11992.69</v>
      </c>
      <c r="F115" s="10"/>
      <c r="G115" s="27"/>
      <c r="H115" s="28"/>
      <c r="I115" s="27"/>
      <c r="J115" s="28"/>
      <c r="K115" s="27"/>
      <c r="L115" s="28"/>
      <c r="M115" s="27">
        <v>259.23</v>
      </c>
      <c r="N115" s="28"/>
      <c r="O115" s="484">
        <f t="shared" si="3"/>
        <v>46453.850000000006</v>
      </c>
      <c r="P115" s="62"/>
      <c r="Q115" s="275"/>
    </row>
    <row r="116" spans="1:17" s="29" customFormat="1" ht="12.75">
      <c r="A116" s="23" t="s">
        <v>195</v>
      </c>
      <c r="B116" s="265" t="s">
        <v>197</v>
      </c>
      <c r="C116" s="18">
        <f>May20!O116</f>
        <v>13211.15</v>
      </c>
      <c r="D116" s="6">
        <f>May20!P116</f>
        <v>0</v>
      </c>
      <c r="E116" s="14"/>
      <c r="F116" s="10"/>
      <c r="G116" s="27"/>
      <c r="H116" s="28"/>
      <c r="I116" s="27"/>
      <c r="J116" s="28"/>
      <c r="K116" s="27"/>
      <c r="L116" s="28"/>
      <c r="M116" s="27">
        <v>2240</v>
      </c>
      <c r="N116" s="28"/>
      <c r="O116" s="484">
        <f t="shared" si="3"/>
        <v>15451.15</v>
      </c>
      <c r="P116" s="62"/>
      <c r="Q116" s="275"/>
    </row>
    <row r="117" spans="1:17" s="29" customFormat="1" ht="12.75">
      <c r="A117" s="23" t="s">
        <v>171</v>
      </c>
      <c r="B117" s="265" t="s">
        <v>172</v>
      </c>
      <c r="C117" s="18">
        <f>May20!O117</f>
        <v>22444.6</v>
      </c>
      <c r="D117" s="6">
        <f>May20!P117</f>
        <v>0</v>
      </c>
      <c r="E117" s="13">
        <v>1900</v>
      </c>
      <c r="F117" s="10"/>
      <c r="G117" s="27"/>
      <c r="H117" s="28"/>
      <c r="I117" s="27"/>
      <c r="J117" s="28"/>
      <c r="K117" s="27"/>
      <c r="L117" s="28"/>
      <c r="M117" s="27">
        <v>19064.59</v>
      </c>
      <c r="N117" s="28"/>
      <c r="O117" s="484">
        <f t="shared" si="3"/>
        <v>43409.19</v>
      </c>
      <c r="P117" s="62"/>
      <c r="Q117" s="275"/>
    </row>
    <row r="118" spans="1:17" s="29" customFormat="1" ht="12.75">
      <c r="A118" s="23" t="s">
        <v>51</v>
      </c>
      <c r="B118" s="265" t="s">
        <v>173</v>
      </c>
      <c r="C118" s="18">
        <f>May20!O118</f>
        <v>300</v>
      </c>
      <c r="D118" s="6">
        <f>May20!P118</f>
        <v>0</v>
      </c>
      <c r="E118" s="13"/>
      <c r="F118" s="10"/>
      <c r="G118" s="27"/>
      <c r="H118" s="28"/>
      <c r="I118" s="27"/>
      <c r="J118" s="28"/>
      <c r="K118" s="27"/>
      <c r="L118" s="28"/>
      <c r="M118" s="27"/>
      <c r="N118" s="28"/>
      <c r="O118" s="484">
        <f t="shared" si="3"/>
        <v>300</v>
      </c>
      <c r="P118" s="62"/>
      <c r="Q118" s="275"/>
    </row>
    <row r="119" spans="1:17" s="29" customFormat="1" ht="12.75">
      <c r="A119" s="23" t="s">
        <v>539</v>
      </c>
      <c r="B119" s="265" t="s">
        <v>538</v>
      </c>
      <c r="C119" s="18">
        <f>May20!O119</f>
        <v>0</v>
      </c>
      <c r="D119" s="6">
        <f>May20!P119</f>
        <v>0</v>
      </c>
      <c r="E119" s="14"/>
      <c r="F119" s="10"/>
      <c r="G119" s="27"/>
      <c r="H119" s="28"/>
      <c r="I119" s="27"/>
      <c r="J119" s="28"/>
      <c r="K119" s="27"/>
      <c r="L119" s="28"/>
      <c r="M119" s="27"/>
      <c r="N119" s="28"/>
      <c r="O119" s="484">
        <f t="shared" si="3"/>
        <v>0</v>
      </c>
      <c r="P119" s="62"/>
      <c r="Q119" s="275"/>
    </row>
    <row r="120" spans="1:17" s="29" customFormat="1" ht="12.75">
      <c r="A120" s="23" t="s">
        <v>193</v>
      </c>
      <c r="B120" s="265" t="s">
        <v>190</v>
      </c>
      <c r="C120" s="18">
        <f>May20!O120</f>
        <v>45833.35</v>
      </c>
      <c r="D120" s="6">
        <f>May20!P120</f>
        <v>0</v>
      </c>
      <c r="E120" s="14">
        <v>9166.67</v>
      </c>
      <c r="F120" s="10"/>
      <c r="G120" s="27"/>
      <c r="H120" s="28"/>
      <c r="I120" s="27"/>
      <c r="J120" s="28"/>
      <c r="K120" s="27"/>
      <c r="L120" s="28"/>
      <c r="M120" s="27"/>
      <c r="N120" s="28"/>
      <c r="O120" s="484">
        <f t="shared" si="3"/>
        <v>55000.02</v>
      </c>
      <c r="P120" s="62"/>
      <c r="Q120" s="275"/>
    </row>
    <row r="121" spans="1:17" s="29" customFormat="1" ht="12.75">
      <c r="A121" s="23" t="s">
        <v>71</v>
      </c>
      <c r="B121" s="265" t="s">
        <v>178</v>
      </c>
      <c r="C121" s="18">
        <f>May20!O121</f>
        <v>400</v>
      </c>
      <c r="D121" s="6">
        <f>May20!P121</f>
        <v>0</v>
      </c>
      <c r="E121" s="13"/>
      <c r="F121" s="10"/>
      <c r="G121" s="27"/>
      <c r="H121" s="28"/>
      <c r="I121" s="27"/>
      <c r="J121" s="28"/>
      <c r="K121" s="27"/>
      <c r="L121" s="28"/>
      <c r="M121" s="27"/>
      <c r="N121" s="28"/>
      <c r="O121" s="484">
        <f t="shared" si="3"/>
        <v>400</v>
      </c>
      <c r="P121" s="62"/>
      <c r="Q121" s="275"/>
    </row>
    <row r="122" spans="1:17" s="29" customFormat="1" ht="12.75">
      <c r="A122" s="23" t="s">
        <v>30</v>
      </c>
      <c r="B122" s="265" t="s">
        <v>179</v>
      </c>
      <c r="C122" s="18">
        <f>May20!O122</f>
        <v>0</v>
      </c>
      <c r="D122" s="6">
        <f>May20!P122</f>
        <v>0</v>
      </c>
      <c r="E122" s="13"/>
      <c r="F122" s="10"/>
      <c r="G122" s="27"/>
      <c r="H122" s="28"/>
      <c r="I122" s="27"/>
      <c r="J122" s="28"/>
      <c r="K122" s="27"/>
      <c r="L122" s="28"/>
      <c r="M122" s="27"/>
      <c r="N122" s="28"/>
      <c r="O122" s="484">
        <f t="shared" si="3"/>
        <v>0</v>
      </c>
      <c r="P122" s="62"/>
      <c r="Q122" s="275"/>
    </row>
    <row r="123" spans="1:17" s="29" customFormat="1" ht="12.75">
      <c r="A123" s="23" t="s">
        <v>198</v>
      </c>
      <c r="B123" s="265" t="s">
        <v>199</v>
      </c>
      <c r="C123" s="18">
        <f>May20!O123</f>
        <v>0</v>
      </c>
      <c r="D123" s="6">
        <f>May20!P123</f>
        <v>0</v>
      </c>
      <c r="E123" s="14"/>
      <c r="F123" s="10"/>
      <c r="G123" s="27"/>
      <c r="H123" s="28"/>
      <c r="I123" s="27"/>
      <c r="J123" s="28"/>
      <c r="K123" s="27"/>
      <c r="L123" s="28"/>
      <c r="M123" s="27"/>
      <c r="N123" s="28"/>
      <c r="O123" s="484">
        <f t="shared" si="3"/>
        <v>0</v>
      </c>
      <c r="P123" s="62"/>
      <c r="Q123" s="275"/>
    </row>
    <row r="124" spans="1:17" s="29" customFormat="1" ht="12.75">
      <c r="A124" s="23" t="s">
        <v>72</v>
      </c>
      <c r="B124" s="265" t="s">
        <v>182</v>
      </c>
      <c r="C124" s="18">
        <f>May20!O124</f>
        <v>287328.39999999997</v>
      </c>
      <c r="D124" s="6">
        <f>May20!P124</f>
        <v>0</v>
      </c>
      <c r="E124" s="14">
        <v>46799.61</v>
      </c>
      <c r="F124" s="10"/>
      <c r="G124" s="27"/>
      <c r="H124" s="28"/>
      <c r="I124" s="27"/>
      <c r="J124" s="28"/>
      <c r="K124" s="27"/>
      <c r="L124" s="28"/>
      <c r="M124" s="27">
        <v>16908.95</v>
      </c>
      <c r="N124" s="28"/>
      <c r="O124" s="484">
        <f t="shared" si="3"/>
        <v>351036.95999999996</v>
      </c>
      <c r="P124" s="62"/>
      <c r="Q124" s="275"/>
    </row>
    <row r="125" spans="1:17" s="29" customFormat="1" ht="12.75" hidden="1">
      <c r="A125" s="23" t="s">
        <v>65</v>
      </c>
      <c r="B125" s="265" t="s">
        <v>183</v>
      </c>
      <c r="C125" s="18">
        <f>May20!O125</f>
        <v>0</v>
      </c>
      <c r="D125" s="6">
        <f>May20!P125</f>
        <v>0</v>
      </c>
      <c r="E125" s="13"/>
      <c r="F125" s="10"/>
      <c r="G125" s="27"/>
      <c r="H125" s="28"/>
      <c r="I125" s="27"/>
      <c r="J125" s="28"/>
      <c r="K125" s="27"/>
      <c r="L125" s="28"/>
      <c r="M125" s="27"/>
      <c r="N125" s="28"/>
      <c r="O125" s="484">
        <f t="shared" si="3"/>
        <v>0</v>
      </c>
      <c r="P125" s="62"/>
      <c r="Q125" s="275"/>
    </row>
    <row r="126" spans="1:17" s="29" customFormat="1" ht="12.75" hidden="1">
      <c r="A126" s="23" t="s">
        <v>180</v>
      </c>
      <c r="B126" s="265" t="s">
        <v>181</v>
      </c>
      <c r="C126" s="18">
        <f>May20!O126</f>
        <v>0</v>
      </c>
      <c r="D126" s="6">
        <f>May20!P126</f>
        <v>0</v>
      </c>
      <c r="E126" s="13"/>
      <c r="F126" s="10"/>
      <c r="G126" s="27"/>
      <c r="H126" s="28"/>
      <c r="I126" s="27"/>
      <c r="J126" s="28"/>
      <c r="K126" s="27"/>
      <c r="L126" s="28"/>
      <c r="M126" s="27"/>
      <c r="N126" s="28"/>
      <c r="O126" s="484">
        <f t="shared" si="3"/>
        <v>0</v>
      </c>
      <c r="P126" s="62"/>
      <c r="Q126" s="275"/>
    </row>
    <row r="127" spans="1:17" s="29" customFormat="1" ht="12.75" hidden="1">
      <c r="A127" s="23" t="s">
        <v>184</v>
      </c>
      <c r="B127" s="265" t="s">
        <v>185</v>
      </c>
      <c r="C127" s="18">
        <f>May20!O127</f>
        <v>0</v>
      </c>
      <c r="D127" s="6">
        <f>May20!P127</f>
        <v>0</v>
      </c>
      <c r="E127" s="14"/>
      <c r="F127" s="10"/>
      <c r="G127" s="27"/>
      <c r="H127" s="28"/>
      <c r="I127" s="27"/>
      <c r="J127" s="28"/>
      <c r="K127" s="27"/>
      <c r="L127" s="28"/>
      <c r="M127" s="27"/>
      <c r="N127" s="28"/>
      <c r="O127" s="484">
        <f t="shared" si="3"/>
        <v>0</v>
      </c>
      <c r="P127" s="62"/>
      <c r="Q127" s="275"/>
    </row>
    <row r="128" spans="1:17" s="29" customFormat="1" ht="12.75" hidden="1">
      <c r="A128" s="23" t="s">
        <v>186</v>
      </c>
      <c r="B128" s="265" t="s">
        <v>204</v>
      </c>
      <c r="C128" s="18">
        <f>May20!O128</f>
        <v>0</v>
      </c>
      <c r="D128" s="6">
        <f>May20!P128</f>
        <v>0</v>
      </c>
      <c r="E128" s="14"/>
      <c r="F128" s="10"/>
      <c r="G128" s="27"/>
      <c r="H128" s="28"/>
      <c r="I128" s="27"/>
      <c r="J128" s="28"/>
      <c r="K128" s="27"/>
      <c r="L128" s="28"/>
      <c r="M128" s="27"/>
      <c r="N128" s="28"/>
      <c r="O128" s="484">
        <f t="shared" si="3"/>
        <v>0</v>
      </c>
      <c r="P128" s="62"/>
      <c r="Q128" s="275"/>
    </row>
    <row r="129" spans="1:17" s="29" customFormat="1" ht="12.75">
      <c r="A129" s="23" t="s">
        <v>219</v>
      </c>
      <c r="B129" s="265" t="s">
        <v>205</v>
      </c>
      <c r="C129" s="18">
        <f>May20!O129</f>
        <v>4430</v>
      </c>
      <c r="D129" s="6">
        <f>May20!P129</f>
        <v>0</v>
      </c>
      <c r="E129" s="13">
        <v>60977</v>
      </c>
      <c r="F129" s="10"/>
      <c r="G129" s="27"/>
      <c r="H129" s="28"/>
      <c r="I129" s="27"/>
      <c r="J129" s="28"/>
      <c r="K129" s="27"/>
      <c r="L129" s="28"/>
      <c r="M129" s="27"/>
      <c r="N129" s="28"/>
      <c r="O129" s="484">
        <f t="shared" si="3"/>
        <v>65407</v>
      </c>
      <c r="P129" s="62"/>
      <c r="Q129" s="275"/>
    </row>
    <row r="130" spans="1:17" s="29" customFormat="1" ht="12.75">
      <c r="A130" s="23" t="s">
        <v>220</v>
      </c>
      <c r="B130" s="265" t="s">
        <v>206</v>
      </c>
      <c r="C130" s="18">
        <f>May20!O130</f>
        <v>55510</v>
      </c>
      <c r="D130" s="6">
        <f>May20!P130</f>
        <v>0</v>
      </c>
      <c r="E130" s="13"/>
      <c r="F130" s="10"/>
      <c r="G130" s="27"/>
      <c r="H130" s="28"/>
      <c r="I130" s="27"/>
      <c r="J130" s="28"/>
      <c r="K130" s="27"/>
      <c r="L130" s="28"/>
      <c r="M130" s="27"/>
      <c r="N130" s="28"/>
      <c r="O130" s="484">
        <f t="shared" si="3"/>
        <v>55510</v>
      </c>
      <c r="P130" s="62"/>
      <c r="Q130" s="275"/>
    </row>
    <row r="131" spans="1:17" s="29" customFormat="1" ht="12.75">
      <c r="A131" s="23" t="s">
        <v>584</v>
      </c>
      <c r="B131" s="265" t="s">
        <v>585</v>
      </c>
      <c r="C131" s="18">
        <f>May20!O131</f>
        <v>0</v>
      </c>
      <c r="D131" s="6">
        <f>May20!P131</f>
        <v>0</v>
      </c>
      <c r="E131" s="14"/>
      <c r="F131" s="10"/>
      <c r="G131" s="27"/>
      <c r="H131" s="28"/>
      <c r="I131" s="27"/>
      <c r="J131" s="28"/>
      <c r="K131" s="27"/>
      <c r="L131" s="28"/>
      <c r="M131" s="27"/>
      <c r="N131" s="28"/>
      <c r="O131" s="484">
        <f t="shared" si="3"/>
        <v>0</v>
      </c>
      <c r="P131" s="62"/>
      <c r="Q131" s="275"/>
    </row>
    <row r="132" spans="1:17" s="29" customFormat="1" ht="12.75">
      <c r="A132" s="23" t="s">
        <v>188</v>
      </c>
      <c r="B132" s="265" t="s">
        <v>189</v>
      </c>
      <c r="C132" s="18">
        <f>May20!O132</f>
        <v>0</v>
      </c>
      <c r="D132" s="6">
        <f>May20!P132</f>
        <v>0</v>
      </c>
      <c r="E132" s="14"/>
      <c r="F132" s="10"/>
      <c r="G132" s="27"/>
      <c r="H132" s="28"/>
      <c r="I132" s="27"/>
      <c r="J132" s="28"/>
      <c r="K132" s="27"/>
      <c r="L132" s="28"/>
      <c r="M132" s="27"/>
      <c r="N132" s="28"/>
      <c r="O132" s="484">
        <f t="shared" si="3"/>
        <v>0</v>
      </c>
      <c r="P132" s="62"/>
      <c r="Q132" s="275"/>
    </row>
    <row r="133" spans="1:17" s="29" customFormat="1" ht="12.75">
      <c r="A133" s="23" t="s">
        <v>229</v>
      </c>
      <c r="B133" s="265" t="s">
        <v>227</v>
      </c>
      <c r="C133" s="18">
        <f>May20!O133</f>
        <v>54640</v>
      </c>
      <c r="D133" s="6">
        <f>May20!P133</f>
        <v>0</v>
      </c>
      <c r="E133" s="13"/>
      <c r="F133" s="10"/>
      <c r="G133" s="27"/>
      <c r="H133" s="28"/>
      <c r="I133" s="27"/>
      <c r="J133" s="28"/>
      <c r="K133" s="27"/>
      <c r="L133" s="28"/>
      <c r="M133" s="27"/>
      <c r="N133" s="28"/>
      <c r="O133" s="484">
        <f t="shared" si="3"/>
        <v>54640</v>
      </c>
      <c r="P133" s="62"/>
      <c r="Q133" s="275"/>
    </row>
    <row r="134" spans="1:17" s="29" customFormat="1" ht="12.75">
      <c r="A134" s="23" t="s">
        <v>64</v>
      </c>
      <c r="B134" s="265" t="s">
        <v>187</v>
      </c>
      <c r="C134" s="18">
        <f>May20!O134</f>
        <v>0</v>
      </c>
      <c r="D134" s="6">
        <f>May20!P134</f>
        <v>0</v>
      </c>
      <c r="E134" s="13"/>
      <c r="F134" s="10"/>
      <c r="G134" s="27"/>
      <c r="H134" s="28"/>
      <c r="I134" s="27"/>
      <c r="J134" s="28"/>
      <c r="K134" s="27"/>
      <c r="L134" s="28"/>
      <c r="M134" s="27"/>
      <c r="N134" s="28"/>
      <c r="O134" s="484">
        <f t="shared" si="3"/>
        <v>0</v>
      </c>
      <c r="P134" s="62"/>
      <c r="Q134" s="275"/>
    </row>
    <row r="135" spans="1:17" s="29" customFormat="1" ht="12.75">
      <c r="A135" s="23" t="s">
        <v>587</v>
      </c>
      <c r="B135" s="265" t="s">
        <v>586</v>
      </c>
      <c r="C135" s="18">
        <f>May20!O135</f>
        <v>0</v>
      </c>
      <c r="D135" s="6">
        <f>May20!P135</f>
        <v>0</v>
      </c>
      <c r="E135" s="14"/>
      <c r="F135" s="10"/>
      <c r="G135" s="27"/>
      <c r="H135" s="28"/>
      <c r="I135" s="27"/>
      <c r="J135" s="28"/>
      <c r="K135" s="27"/>
      <c r="L135" s="28"/>
      <c r="M135" s="27"/>
      <c r="N135" s="28"/>
      <c r="O135" s="484">
        <f t="shared" si="3"/>
        <v>0</v>
      </c>
      <c r="P135" s="62"/>
      <c r="Q135" s="275"/>
    </row>
    <row r="136" spans="1:17" s="29" customFormat="1" ht="12.75">
      <c r="A136" s="23" t="s">
        <v>233</v>
      </c>
      <c r="B136" s="265" t="s">
        <v>232</v>
      </c>
      <c r="C136" s="18">
        <f>May20!O136</f>
        <v>49408082.71999999</v>
      </c>
      <c r="D136" s="6">
        <f>May20!P136</f>
        <v>0</v>
      </c>
      <c r="E136" s="14">
        <v>16951438.9</v>
      </c>
      <c r="F136" s="10"/>
      <c r="G136" s="27"/>
      <c r="H136" s="28"/>
      <c r="I136" s="27"/>
      <c r="J136" s="28"/>
      <c r="K136" s="27"/>
      <c r="L136" s="28"/>
      <c r="M136" s="27"/>
      <c r="N136" s="28"/>
      <c r="O136" s="484">
        <f t="shared" si="3"/>
        <v>66359521.61999999</v>
      </c>
      <c r="P136" s="62"/>
      <c r="Q136" s="275"/>
    </row>
    <row r="137" spans="1:17" s="29" customFormat="1" ht="12.75">
      <c r="A137" s="23" t="s">
        <v>69</v>
      </c>
      <c r="B137" s="265" t="s">
        <v>191</v>
      </c>
      <c r="C137" s="18">
        <f>May20!O137</f>
        <v>0</v>
      </c>
      <c r="D137" s="6">
        <f>May20!P137</f>
        <v>0</v>
      </c>
      <c r="E137" s="13"/>
      <c r="F137" s="10"/>
      <c r="G137" s="27"/>
      <c r="H137" s="28"/>
      <c r="I137" s="27"/>
      <c r="J137" s="28"/>
      <c r="K137" s="27"/>
      <c r="L137" s="28"/>
      <c r="M137" s="27"/>
      <c r="N137" s="28"/>
      <c r="O137" s="484">
        <f t="shared" si="3"/>
        <v>0</v>
      </c>
      <c r="P137" s="62"/>
      <c r="Q137" s="275"/>
    </row>
    <row r="138" spans="1:17" s="29" customFormat="1" ht="12.75">
      <c r="A138" s="23" t="s">
        <v>211</v>
      </c>
      <c r="B138" s="265" t="s">
        <v>212</v>
      </c>
      <c r="C138" s="18">
        <f>May20!O138</f>
        <v>0</v>
      </c>
      <c r="D138" s="6">
        <f>May20!P138</f>
        <v>0</v>
      </c>
      <c r="E138" s="13"/>
      <c r="F138" s="10"/>
      <c r="G138" s="27"/>
      <c r="H138" s="28"/>
      <c r="I138" s="27"/>
      <c r="J138" s="28"/>
      <c r="K138" s="27"/>
      <c r="L138" s="28"/>
      <c r="M138" s="27"/>
      <c r="N138" s="28"/>
      <c r="O138" s="484">
        <f t="shared" si="3"/>
        <v>0</v>
      </c>
      <c r="P138" s="62"/>
      <c r="Q138" s="275"/>
    </row>
    <row r="139" spans="1:17" s="29" customFormat="1" ht="12.75">
      <c r="A139" s="23" t="s">
        <v>540</v>
      </c>
      <c r="B139" s="265" t="s">
        <v>523</v>
      </c>
      <c r="C139" s="18">
        <f>May20!O139</f>
        <v>0</v>
      </c>
      <c r="D139" s="6">
        <f>May20!P139</f>
        <v>0</v>
      </c>
      <c r="E139" s="14"/>
      <c r="F139" s="10"/>
      <c r="G139" s="27"/>
      <c r="H139" s="28"/>
      <c r="I139" s="27"/>
      <c r="J139" s="28"/>
      <c r="K139" s="27"/>
      <c r="L139" s="28"/>
      <c r="M139" s="27"/>
      <c r="N139" s="28"/>
      <c r="O139" s="484">
        <f t="shared" si="3"/>
        <v>0</v>
      </c>
      <c r="P139" s="62"/>
      <c r="Q139" s="275"/>
    </row>
    <row r="140" spans="1:17" s="29" customFormat="1" ht="12.75">
      <c r="A140" s="23" t="s">
        <v>73</v>
      </c>
      <c r="B140" s="265" t="s">
        <v>192</v>
      </c>
      <c r="C140" s="18">
        <f>May20!O140</f>
        <v>91512.1</v>
      </c>
      <c r="D140" s="6">
        <f>May20!P140</f>
        <v>0</v>
      </c>
      <c r="E140" s="14">
        <v>12600</v>
      </c>
      <c r="F140" s="10"/>
      <c r="G140" s="27"/>
      <c r="H140" s="28"/>
      <c r="I140" s="27"/>
      <c r="J140" s="28"/>
      <c r="K140" s="27"/>
      <c r="L140" s="28"/>
      <c r="M140" s="27"/>
      <c r="N140" s="28"/>
      <c r="O140" s="484">
        <f t="shared" si="3"/>
        <v>104112.1</v>
      </c>
      <c r="P140" s="62"/>
      <c r="Q140" s="275"/>
    </row>
    <row r="141" spans="1:17" s="29" customFormat="1" ht="12.75">
      <c r="A141" s="23" t="s">
        <v>38</v>
      </c>
      <c r="B141" s="265" t="s">
        <v>175</v>
      </c>
      <c r="C141" s="18">
        <f>May20!O141</f>
        <v>0</v>
      </c>
      <c r="D141" s="6">
        <f>May20!P141</f>
        <v>0</v>
      </c>
      <c r="E141" s="13"/>
      <c r="F141" s="10"/>
      <c r="G141" s="27"/>
      <c r="H141" s="28"/>
      <c r="I141" s="27"/>
      <c r="J141" s="28"/>
      <c r="K141" s="27"/>
      <c r="L141" s="28"/>
      <c r="M141" s="326"/>
      <c r="N141" s="62"/>
      <c r="O141" s="484">
        <f t="shared" si="3"/>
        <v>0</v>
      </c>
      <c r="P141" s="62"/>
      <c r="Q141" s="275"/>
    </row>
    <row r="142" spans="1:17" s="29" customFormat="1" ht="12.75">
      <c r="A142" s="23" t="s">
        <v>62</v>
      </c>
      <c r="B142" s="265" t="s">
        <v>176</v>
      </c>
      <c r="C142" s="18">
        <f>May20!O142</f>
        <v>0</v>
      </c>
      <c r="D142" s="6">
        <f>May20!P142</f>
        <v>0</v>
      </c>
      <c r="E142" s="18"/>
      <c r="F142" s="10"/>
      <c r="G142" s="326"/>
      <c r="H142" s="62"/>
      <c r="I142" s="326"/>
      <c r="J142" s="62"/>
      <c r="K142" s="326"/>
      <c r="L142" s="62"/>
      <c r="M142" s="326"/>
      <c r="N142" s="62"/>
      <c r="O142" s="484">
        <f t="shared" si="3"/>
        <v>0</v>
      </c>
      <c r="P142" s="62"/>
      <c r="Q142" s="479"/>
    </row>
    <row r="143" spans="1:17" s="29" customFormat="1" ht="12.75">
      <c r="A143" s="23" t="s">
        <v>63</v>
      </c>
      <c r="B143" s="265" t="s">
        <v>177</v>
      </c>
      <c r="C143" s="18">
        <f>May20!O143</f>
        <v>1460</v>
      </c>
      <c r="D143" s="6">
        <f>May20!P143</f>
        <v>0</v>
      </c>
      <c r="E143" s="328"/>
      <c r="F143" s="10"/>
      <c r="G143" s="326"/>
      <c r="H143" s="62"/>
      <c r="I143" s="326"/>
      <c r="J143" s="62"/>
      <c r="K143" s="326"/>
      <c r="L143" s="62"/>
      <c r="M143" s="326"/>
      <c r="N143" s="62"/>
      <c r="O143" s="484">
        <f t="shared" si="3"/>
        <v>1460</v>
      </c>
      <c r="P143" s="62"/>
      <c r="Q143" s="479"/>
    </row>
    <row r="144" spans="1:17" s="29" customFormat="1" ht="12.75">
      <c r="A144" s="23" t="s">
        <v>560</v>
      </c>
      <c r="B144" s="265" t="s">
        <v>561</v>
      </c>
      <c r="C144" s="18">
        <f>May20!O144</f>
        <v>0</v>
      </c>
      <c r="D144" s="6">
        <f>May20!P144</f>
        <v>0</v>
      </c>
      <c r="E144" s="328"/>
      <c r="F144" s="10"/>
      <c r="G144" s="326"/>
      <c r="H144" s="62"/>
      <c r="I144" s="326"/>
      <c r="J144" s="62"/>
      <c r="K144" s="326"/>
      <c r="L144" s="62"/>
      <c r="M144" s="326"/>
      <c r="N144" s="62"/>
      <c r="O144" s="484">
        <f t="shared" si="3"/>
        <v>0</v>
      </c>
      <c r="P144" s="62"/>
      <c r="Q144" s="479"/>
    </row>
    <row r="145" spans="1:17" s="29" customFormat="1" ht="12.75">
      <c r="A145" s="23" t="s">
        <v>53</v>
      </c>
      <c r="B145" s="265" t="s">
        <v>528</v>
      </c>
      <c r="C145" s="18">
        <f>May20!O145</f>
        <v>0</v>
      </c>
      <c r="D145" s="6">
        <f>May20!P145</f>
        <v>0</v>
      </c>
      <c r="E145" s="18">
        <v>461176.47</v>
      </c>
      <c r="F145" s="10"/>
      <c r="G145" s="326"/>
      <c r="H145" s="62"/>
      <c r="I145" s="326"/>
      <c r="J145" s="62"/>
      <c r="K145" s="326"/>
      <c r="L145" s="62"/>
      <c r="M145" s="326"/>
      <c r="N145" s="62"/>
      <c r="O145" s="484">
        <f t="shared" si="3"/>
        <v>461176.47</v>
      </c>
      <c r="P145" s="62"/>
      <c r="Q145" s="479"/>
    </row>
    <row r="146" spans="1:17" s="29" customFormat="1" ht="12.75">
      <c r="A146" s="23" t="s">
        <v>701</v>
      </c>
      <c r="B146" s="265" t="s">
        <v>702</v>
      </c>
      <c r="C146" s="18">
        <f>May20!O146</f>
        <v>0</v>
      </c>
      <c r="D146" s="6">
        <f>May20!P146</f>
        <v>0</v>
      </c>
      <c r="E146" s="18"/>
      <c r="F146" s="10"/>
      <c r="G146" s="326"/>
      <c r="H146" s="62"/>
      <c r="I146" s="326"/>
      <c r="J146" s="62"/>
      <c r="K146" s="326"/>
      <c r="L146" s="62"/>
      <c r="M146" s="326"/>
      <c r="N146" s="62"/>
      <c r="O146" s="484">
        <f t="shared" si="3"/>
        <v>0</v>
      </c>
      <c r="P146" s="62"/>
      <c r="Q146" s="479"/>
    </row>
    <row r="147" spans="1:17" s="29" customFormat="1" ht="12.75">
      <c r="A147" s="23" t="s">
        <v>68</v>
      </c>
      <c r="B147" s="265" t="s">
        <v>174</v>
      </c>
      <c r="C147" s="18">
        <f>May20!O147</f>
        <v>0</v>
      </c>
      <c r="D147" s="6">
        <f>May20!P147</f>
        <v>0</v>
      </c>
      <c r="E147" s="328"/>
      <c r="F147" s="10"/>
      <c r="G147" s="326"/>
      <c r="H147" s="62"/>
      <c r="I147" s="326"/>
      <c r="J147" s="62"/>
      <c r="K147" s="326"/>
      <c r="L147" s="62"/>
      <c r="M147" s="326"/>
      <c r="N147" s="62"/>
      <c r="O147" s="484">
        <f t="shared" si="3"/>
        <v>0</v>
      </c>
      <c r="P147" s="62"/>
      <c r="Q147" s="479"/>
    </row>
    <row r="148" spans="1:17" s="29" customFormat="1" ht="12.75">
      <c r="A148" s="23" t="s">
        <v>244</v>
      </c>
      <c r="B148" s="265" t="s">
        <v>237</v>
      </c>
      <c r="C148" s="18">
        <f>May20!O148</f>
        <v>0</v>
      </c>
      <c r="D148" s="6">
        <f>May20!P148</f>
        <v>0</v>
      </c>
      <c r="E148" s="328"/>
      <c r="F148" s="10"/>
      <c r="G148" s="326"/>
      <c r="H148" s="62"/>
      <c r="I148" s="326"/>
      <c r="J148" s="62"/>
      <c r="K148" s="326"/>
      <c r="L148" s="62"/>
      <c r="M148" s="326"/>
      <c r="N148" s="62"/>
      <c r="O148" s="484">
        <f t="shared" si="3"/>
        <v>0</v>
      </c>
      <c r="P148" s="62"/>
      <c r="Q148" s="479"/>
    </row>
    <row r="149" spans="1:17" s="29" customFormat="1" ht="12.75">
      <c r="A149" s="23" t="s">
        <v>23</v>
      </c>
      <c r="B149" s="265" t="s">
        <v>524</v>
      </c>
      <c r="C149" s="18">
        <f>May20!O149</f>
        <v>400113.45</v>
      </c>
      <c r="D149" s="6">
        <f>May20!P149</f>
        <v>0</v>
      </c>
      <c r="E149" s="18">
        <v>60258</v>
      </c>
      <c r="F149" s="10"/>
      <c r="G149" s="326"/>
      <c r="H149" s="62"/>
      <c r="I149" s="326"/>
      <c r="J149" s="62"/>
      <c r="K149" s="326"/>
      <c r="L149" s="62"/>
      <c r="M149" s="326"/>
      <c r="N149" s="62"/>
      <c r="O149" s="484">
        <f t="shared" si="3"/>
        <v>460371.45</v>
      </c>
      <c r="P149" s="62"/>
      <c r="Q149" s="479"/>
    </row>
    <row r="150" spans="1:17" s="29" customFormat="1" ht="13.5" thickBot="1">
      <c r="A150" s="23" t="s">
        <v>245</v>
      </c>
      <c r="B150" s="265" t="s">
        <v>525</v>
      </c>
      <c r="C150" s="18">
        <f>May20!O150</f>
        <v>0</v>
      </c>
      <c r="D150" s="6">
        <f>May20!P150</f>
        <v>0</v>
      </c>
      <c r="E150" s="18"/>
      <c r="F150" s="10"/>
      <c r="G150" s="326"/>
      <c r="H150" s="62"/>
      <c r="I150" s="326"/>
      <c r="J150" s="62"/>
      <c r="K150" s="326"/>
      <c r="L150" s="62"/>
      <c r="M150" s="326"/>
      <c r="N150" s="62"/>
      <c r="O150" s="484">
        <f aca="true" t="shared" si="4" ref="O150:O157">C150+E150+I150+M150-D150-F150-J150-N150+G150-H150+K150-L150</f>
        <v>0</v>
      </c>
      <c r="P150" s="62"/>
      <c r="Q150" s="479"/>
    </row>
    <row r="151" spans="1:17" s="29" customFormat="1" ht="12.75" hidden="1">
      <c r="A151" s="8" t="s">
        <v>214</v>
      </c>
      <c r="B151" s="265" t="s">
        <v>574</v>
      </c>
      <c r="C151" s="18">
        <f>May20!O151</f>
        <v>0</v>
      </c>
      <c r="D151" s="6">
        <f>May20!P151</f>
        <v>0</v>
      </c>
      <c r="E151" s="328"/>
      <c r="F151" s="10"/>
      <c r="G151" s="326"/>
      <c r="H151" s="62"/>
      <c r="I151" s="326"/>
      <c r="J151" s="62"/>
      <c r="K151" s="326"/>
      <c r="L151" s="62"/>
      <c r="M151" s="326"/>
      <c r="N151" s="62"/>
      <c r="O151" s="484">
        <f t="shared" si="4"/>
        <v>0</v>
      </c>
      <c r="P151" s="62"/>
      <c r="Q151" s="479"/>
    </row>
    <row r="152" spans="1:17" s="29" customFormat="1" ht="12.75" hidden="1">
      <c r="A152" s="8" t="s">
        <v>77</v>
      </c>
      <c r="B152" s="265" t="s">
        <v>575</v>
      </c>
      <c r="C152" s="18">
        <f>May20!O152</f>
        <v>0</v>
      </c>
      <c r="D152" s="6">
        <f>May20!P152</f>
        <v>0</v>
      </c>
      <c r="E152" s="328"/>
      <c r="F152" s="10"/>
      <c r="G152" s="326"/>
      <c r="H152" s="62"/>
      <c r="I152" s="326"/>
      <c r="J152" s="62"/>
      <c r="K152" s="326"/>
      <c r="L152" s="62"/>
      <c r="M152" s="326"/>
      <c r="N152" s="62"/>
      <c r="O152" s="484">
        <f t="shared" si="4"/>
        <v>0</v>
      </c>
      <c r="P152" s="62"/>
      <c r="Q152" s="479"/>
    </row>
    <row r="153" spans="1:17" s="29" customFormat="1" ht="12.75" hidden="1">
      <c r="A153" s="8" t="s">
        <v>78</v>
      </c>
      <c r="B153" s="265" t="s">
        <v>576</v>
      </c>
      <c r="C153" s="18">
        <f>May20!O153</f>
        <v>0</v>
      </c>
      <c r="D153" s="6">
        <f>May20!P153</f>
        <v>0</v>
      </c>
      <c r="E153" s="18"/>
      <c r="F153" s="10"/>
      <c r="G153" s="326"/>
      <c r="H153" s="62"/>
      <c r="I153" s="326"/>
      <c r="J153" s="62"/>
      <c r="K153" s="326"/>
      <c r="L153" s="62"/>
      <c r="M153" s="326"/>
      <c r="N153" s="62"/>
      <c r="O153" s="484">
        <f t="shared" si="4"/>
        <v>0</v>
      </c>
      <c r="P153" s="62"/>
      <c r="Q153" s="479"/>
    </row>
    <row r="154" spans="1:17" s="29" customFormat="1" ht="12.75" hidden="1">
      <c r="A154" s="8" t="s">
        <v>79</v>
      </c>
      <c r="B154" s="265" t="s">
        <v>577</v>
      </c>
      <c r="C154" s="18">
        <f>May20!O154</f>
        <v>0</v>
      </c>
      <c r="D154" s="6">
        <f>May20!P154</f>
        <v>0</v>
      </c>
      <c r="E154" s="18"/>
      <c r="F154" s="10"/>
      <c r="G154" s="326"/>
      <c r="H154" s="62"/>
      <c r="I154" s="326"/>
      <c r="J154" s="62"/>
      <c r="K154" s="326"/>
      <c r="L154" s="62"/>
      <c r="M154" s="326"/>
      <c r="N154" s="62"/>
      <c r="O154" s="484">
        <f t="shared" si="4"/>
        <v>0</v>
      </c>
      <c r="P154" s="62"/>
      <c r="Q154" s="479"/>
    </row>
    <row r="155" spans="1:17" s="29" customFormat="1" ht="12.75" hidden="1">
      <c r="A155" s="8" t="s">
        <v>578</v>
      </c>
      <c r="B155" s="265" t="s">
        <v>579</v>
      </c>
      <c r="C155" s="18">
        <f>May20!O155</f>
        <v>0</v>
      </c>
      <c r="D155" s="6">
        <f>May20!P155</f>
        <v>0</v>
      </c>
      <c r="E155" s="328"/>
      <c r="F155" s="10"/>
      <c r="G155" s="326"/>
      <c r="H155" s="62"/>
      <c r="I155" s="326"/>
      <c r="J155" s="62"/>
      <c r="K155" s="326"/>
      <c r="L155" s="62"/>
      <c r="M155" s="326"/>
      <c r="N155" s="62"/>
      <c r="O155" s="484">
        <f t="shared" si="4"/>
        <v>0</v>
      </c>
      <c r="P155" s="62"/>
      <c r="Q155" s="479"/>
    </row>
    <row r="156" spans="1:17" s="29" customFormat="1" ht="12.75" hidden="1">
      <c r="A156" s="8" t="s">
        <v>580</v>
      </c>
      <c r="B156" s="265" t="s">
        <v>581</v>
      </c>
      <c r="C156" s="18">
        <f>May20!O156</f>
        <v>0</v>
      </c>
      <c r="D156" s="6">
        <f>May20!P156</f>
        <v>0</v>
      </c>
      <c r="E156" s="328"/>
      <c r="F156" s="10"/>
      <c r="G156" s="326"/>
      <c r="H156" s="62"/>
      <c r="I156" s="326"/>
      <c r="J156" s="62"/>
      <c r="K156" s="326"/>
      <c r="L156" s="62"/>
      <c r="M156" s="326"/>
      <c r="N156" s="62"/>
      <c r="O156" s="484">
        <f t="shared" si="4"/>
        <v>0</v>
      </c>
      <c r="P156" s="62"/>
      <c r="Q156" s="479"/>
    </row>
    <row r="157" spans="1:16" s="29" customFormat="1" ht="13.5" hidden="1" thickBot="1">
      <c r="A157" s="8" t="s">
        <v>82</v>
      </c>
      <c r="B157" s="265" t="s">
        <v>582</v>
      </c>
      <c r="C157" s="273">
        <f>May20!O157</f>
        <v>0</v>
      </c>
      <c r="D157" s="6">
        <f>May20!P157</f>
        <v>0</v>
      </c>
      <c r="E157" s="273"/>
      <c r="F157" s="10"/>
      <c r="G157" s="338"/>
      <c r="H157" s="62"/>
      <c r="I157" s="61"/>
      <c r="J157" s="62"/>
      <c r="K157" s="61"/>
      <c r="L157" s="62"/>
      <c r="M157" s="61"/>
      <c r="N157" s="62"/>
      <c r="O157" s="484">
        <f t="shared" si="4"/>
        <v>0</v>
      </c>
      <c r="P157" s="62"/>
    </row>
    <row r="158" spans="1:16" s="29" customFormat="1" ht="13.5" thickBot="1">
      <c r="A158" s="123" t="s">
        <v>24</v>
      </c>
      <c r="B158" s="124"/>
      <c r="C158" s="125">
        <f>SUM(C14:C157)</f>
        <v>179678920.41999996</v>
      </c>
      <c r="D158" s="127">
        <f>SUM(D14:D157)</f>
        <v>179678920.42</v>
      </c>
      <c r="E158" s="125">
        <f>SUM(E14:E157)</f>
        <v>21703450.93</v>
      </c>
      <c r="F158" s="126">
        <f>SUM(F14:F157)</f>
        <v>21703450.929999996</v>
      </c>
      <c r="G158" s="125">
        <f aca="true" t="shared" si="5" ref="G158:L158">SUM(G14:G141)</f>
        <v>0</v>
      </c>
      <c r="H158" s="126">
        <f t="shared" si="5"/>
        <v>0</v>
      </c>
      <c r="I158" s="125">
        <f t="shared" si="5"/>
        <v>0</v>
      </c>
      <c r="J158" s="126">
        <f t="shared" si="5"/>
        <v>0</v>
      </c>
      <c r="K158" s="125">
        <f t="shared" si="5"/>
        <v>0</v>
      </c>
      <c r="L158" s="126">
        <f t="shared" si="5"/>
        <v>0</v>
      </c>
      <c r="M158" s="125">
        <f>SUM(M14:M157)</f>
        <v>1779996.3500000003</v>
      </c>
      <c r="N158" s="126">
        <f>SUM(N14:N157)</f>
        <v>1779996.35</v>
      </c>
      <c r="O158" s="485">
        <f>SUM(O14:O157)</f>
        <v>181121505.96999997</v>
      </c>
      <c r="P158" s="129">
        <f>SUM(P14:P157)</f>
        <v>181121505.97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0" spans="1:16" s="29" customFormat="1" ht="12.75" hidden="1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9"/>
      <c r="P162" s="30"/>
    </row>
    <row r="163" spans="1:16" s="29" customFormat="1" ht="12.7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0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712</v>
      </c>
      <c r="P164" s="30"/>
    </row>
    <row r="165" spans="1:16" s="288" customFormat="1" ht="12.75">
      <c r="A165" s="16" t="s">
        <v>210</v>
      </c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1" t="s">
        <v>224</v>
      </c>
      <c r="P165" s="287"/>
    </row>
  </sheetData>
  <sheetProtection/>
  <mergeCells count="16">
    <mergeCell ref="G10:H10"/>
    <mergeCell ref="I10:J10"/>
    <mergeCell ref="K10:L10"/>
    <mergeCell ref="M10:N10"/>
    <mergeCell ref="A10:A11"/>
    <mergeCell ref="O10:O11"/>
    <mergeCell ref="P10:P11"/>
    <mergeCell ref="A2:P2"/>
    <mergeCell ref="A3:P3"/>
    <mergeCell ref="A5:P5"/>
    <mergeCell ref="A6:P6"/>
    <mergeCell ref="A7:P7"/>
    <mergeCell ref="A8:P8"/>
    <mergeCell ref="A9:P9"/>
    <mergeCell ref="C10:D10"/>
    <mergeCell ref="E10:F10"/>
  </mergeCells>
  <printOptions/>
  <pageMargins left="0.84" right="0.13" top="0.41" bottom="0.1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Q163"/>
  <sheetViews>
    <sheetView zoomScale="115" zoomScaleNormal="115" zoomScalePageLayoutView="0" workbookViewId="0" topLeftCell="A1">
      <pane xSplit="1" ySplit="11" topLeftCell="F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29" sqref="O29:O31"/>
    </sheetView>
  </sheetViews>
  <sheetFormatPr defaultColWidth="9.140625" defaultRowHeight="12.75"/>
  <cols>
    <col min="1" max="1" width="47.28125" style="30" bestFit="1" customWidth="1"/>
    <col min="2" max="2" width="13.28125" style="30" bestFit="1" customWidth="1"/>
    <col min="3" max="4" width="14.57421875" style="30" bestFit="1" customWidth="1"/>
    <col min="5" max="6" width="13.57421875" style="30" customWidth="1"/>
    <col min="7" max="7" width="10.00390625" style="30" customWidth="1"/>
    <col min="8" max="8" width="10.28125" style="30" customWidth="1"/>
    <col min="9" max="9" width="6.28125" style="30" customWidth="1"/>
    <col min="10" max="10" width="6.8515625" style="30" customWidth="1"/>
    <col min="11" max="11" width="6.28125" style="30" customWidth="1"/>
    <col min="12" max="12" width="6.8515625" style="30" customWidth="1"/>
    <col min="13" max="14" width="14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761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558" t="s">
        <v>5</v>
      </c>
      <c r="B10" s="35" t="s">
        <v>4</v>
      </c>
      <c r="C10" s="538" t="s">
        <v>763</v>
      </c>
      <c r="D10" s="539"/>
      <c r="E10" s="537" t="s">
        <v>49</v>
      </c>
      <c r="F10" s="537"/>
      <c r="G10" s="538" t="s">
        <v>54</v>
      </c>
      <c r="H10" s="539"/>
      <c r="I10" s="537" t="s">
        <v>48</v>
      </c>
      <c r="J10" s="539"/>
      <c r="K10" s="538" t="s">
        <v>57</v>
      </c>
      <c r="L10" s="539"/>
      <c r="M10" s="538" t="s">
        <v>50</v>
      </c>
      <c r="N10" s="537"/>
      <c r="O10" s="562" t="s">
        <v>7</v>
      </c>
      <c r="P10" s="556" t="s">
        <v>8</v>
      </c>
    </row>
    <row r="11" spans="1:16" ht="16.5" thickBot="1">
      <c r="A11" s="559"/>
      <c r="B11" s="117" t="s">
        <v>6</v>
      </c>
      <c r="C11" s="105" t="s">
        <v>7</v>
      </c>
      <c r="D11" s="106" t="s">
        <v>8</v>
      </c>
      <c r="E11" s="118" t="s">
        <v>7</v>
      </c>
      <c r="F11" s="117" t="s">
        <v>8</v>
      </c>
      <c r="G11" s="105" t="s">
        <v>7</v>
      </c>
      <c r="H11" s="106" t="s">
        <v>8</v>
      </c>
      <c r="I11" s="118" t="s">
        <v>7</v>
      </c>
      <c r="J11" s="106" t="s">
        <v>8</v>
      </c>
      <c r="K11" s="105" t="s">
        <v>7</v>
      </c>
      <c r="L11" s="106" t="s">
        <v>8</v>
      </c>
      <c r="M11" s="105" t="s">
        <v>7</v>
      </c>
      <c r="N11" s="117" t="s">
        <v>8</v>
      </c>
      <c r="O11" s="563"/>
      <c r="P11" s="557"/>
    </row>
    <row r="12" spans="1:16" ht="13.5" customHeight="1">
      <c r="A12" s="40"/>
      <c r="B12" s="41"/>
      <c r="C12" s="327"/>
      <c r="D12" s="114"/>
      <c r="E12" s="277"/>
      <c r="F12" s="41"/>
      <c r="G12" s="40"/>
      <c r="H12" s="42"/>
      <c r="I12" s="277"/>
      <c r="J12" s="41"/>
      <c r="K12" s="40"/>
      <c r="L12" s="42"/>
      <c r="M12" s="40"/>
      <c r="N12" s="41"/>
      <c r="O12" s="119"/>
      <c r="P12" s="114"/>
    </row>
    <row r="13" spans="1:16" ht="12.75" customHeight="1">
      <c r="A13" s="4" t="s">
        <v>9</v>
      </c>
      <c r="B13" s="261"/>
      <c r="C13" s="56"/>
      <c r="D13" s="11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20"/>
      <c r="P13" s="115"/>
    </row>
    <row r="14" spans="1:16" ht="12.75">
      <c r="A14" s="102" t="s">
        <v>678</v>
      </c>
      <c r="B14" s="262" t="s">
        <v>679</v>
      </c>
      <c r="C14" s="18">
        <f>Jun20!O14</f>
        <v>0</v>
      </c>
      <c r="D14" s="22">
        <f>Jun20!P14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21">
        <f>C14+E14+I14+M14-D14-F14-J14-N14+G14-H14+K14-L14</f>
        <v>0</v>
      </c>
      <c r="P14" s="22"/>
    </row>
    <row r="15" spans="1:16" s="29" customFormat="1" ht="12.75">
      <c r="A15" s="49" t="s">
        <v>101</v>
      </c>
      <c r="B15" s="262" t="s">
        <v>100</v>
      </c>
      <c r="C15" s="18">
        <f>Jun20!O15</f>
        <v>35000</v>
      </c>
      <c r="D15" s="22">
        <f>Jun20!P15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21">
        <f>C15+E15+I15+M15-D15-F15-J15-N15+G15-H15+K15-L15</f>
        <v>35000</v>
      </c>
      <c r="P15" s="22"/>
    </row>
    <row r="16" spans="1:16" s="29" customFormat="1" ht="12.75">
      <c r="A16" s="49" t="s">
        <v>589</v>
      </c>
      <c r="B16" s="262" t="s">
        <v>230</v>
      </c>
      <c r="C16" s="18">
        <f>Jun20!O16</f>
        <v>333912.42</v>
      </c>
      <c r="D16" s="22">
        <f>Jun20!P16</f>
        <v>0</v>
      </c>
      <c r="E16" s="9"/>
      <c r="F16" s="11"/>
      <c r="G16" s="14"/>
      <c r="H16" s="46"/>
      <c r="I16" s="9"/>
      <c r="J16" s="47"/>
      <c r="K16" s="14"/>
      <c r="L16" s="46"/>
      <c r="M16" s="14"/>
      <c r="N16" s="51"/>
      <c r="O16" s="121">
        <f aca="true" t="shared" si="0" ref="O16:O52">C16+E16+I16+M16-D16-F16-J16-N16+G16-H16+K16-L16</f>
        <v>333912.42</v>
      </c>
      <c r="P16" s="22"/>
    </row>
    <row r="17" spans="1:16" s="29" customFormat="1" ht="12.75">
      <c r="A17" s="49" t="s">
        <v>636</v>
      </c>
      <c r="B17" s="262" t="s">
        <v>590</v>
      </c>
      <c r="C17" s="18">
        <f>Jun20!O17</f>
        <v>0</v>
      </c>
      <c r="D17" s="22">
        <f>Jun20!P17</f>
        <v>0</v>
      </c>
      <c r="E17" s="9"/>
      <c r="F17" s="51"/>
      <c r="G17" s="14"/>
      <c r="H17" s="46"/>
      <c r="I17" s="9"/>
      <c r="J17" s="51"/>
      <c r="K17" s="14"/>
      <c r="L17" s="10"/>
      <c r="M17" s="14"/>
      <c r="N17" s="51"/>
      <c r="O17" s="121">
        <f t="shared" si="0"/>
        <v>0</v>
      </c>
      <c r="P17" s="22"/>
    </row>
    <row r="18" spans="1:16" s="29" customFormat="1" ht="12.75">
      <c r="A18" s="49" t="s">
        <v>103</v>
      </c>
      <c r="B18" s="262" t="s">
        <v>102</v>
      </c>
      <c r="C18" s="18">
        <f>Jun20!O18</f>
        <v>34199.99999999255</v>
      </c>
      <c r="D18" s="22">
        <f>Jun20!P18</f>
        <v>0</v>
      </c>
      <c r="E18" s="9"/>
      <c r="F18" s="51"/>
      <c r="G18" s="14"/>
      <c r="H18" s="46"/>
      <c r="I18" s="9"/>
      <c r="J18" s="51"/>
      <c r="K18" s="14"/>
      <c r="L18" s="10"/>
      <c r="M18" s="14"/>
      <c r="N18" s="51"/>
      <c r="O18" s="121">
        <f t="shared" si="0"/>
        <v>34199.99999999255</v>
      </c>
      <c r="P18" s="22"/>
    </row>
    <row r="19" spans="1:16" s="29" customFormat="1" ht="12.75">
      <c r="A19" s="49" t="s">
        <v>10</v>
      </c>
      <c r="B19" s="262" t="s">
        <v>104</v>
      </c>
      <c r="C19" s="18">
        <f>Jun20!O19</f>
        <v>12594403.790000001</v>
      </c>
      <c r="D19" s="22">
        <f>Jun20!P19</f>
        <v>0</v>
      </c>
      <c r="E19" s="9"/>
      <c r="F19" s="51"/>
      <c r="G19" s="14"/>
      <c r="H19" s="46"/>
      <c r="I19" s="9"/>
      <c r="J19" s="51"/>
      <c r="K19" s="14"/>
      <c r="L19" s="10"/>
      <c r="M19" s="14"/>
      <c r="N19" s="51"/>
      <c r="O19" s="121">
        <f t="shared" si="0"/>
        <v>12594403.790000001</v>
      </c>
      <c r="P19" s="22"/>
    </row>
    <row r="20" spans="1:16" s="29" customFormat="1" ht="12.75">
      <c r="A20" s="49" t="s">
        <v>567</v>
      </c>
      <c r="B20" s="262" t="s">
        <v>568</v>
      </c>
      <c r="C20" s="18">
        <f>Jun20!O20</f>
        <v>22235986.29</v>
      </c>
      <c r="D20" s="22">
        <f>Jun20!P20</f>
        <v>0</v>
      </c>
      <c r="E20" s="9"/>
      <c r="F20" s="52"/>
      <c r="G20" s="14"/>
      <c r="H20" s="53"/>
      <c r="I20" s="9"/>
      <c r="J20" s="52"/>
      <c r="K20" s="14"/>
      <c r="L20" s="53"/>
      <c r="M20" s="14"/>
      <c r="N20" s="52"/>
      <c r="O20" s="121">
        <f t="shared" si="0"/>
        <v>22235986.29</v>
      </c>
      <c r="P20" s="22"/>
    </row>
    <row r="21" spans="1:16" s="29" customFormat="1" ht="12.75">
      <c r="A21" s="49" t="s">
        <v>225</v>
      </c>
      <c r="B21" s="263" t="s">
        <v>226</v>
      </c>
      <c r="C21" s="18">
        <f>Jun20!O21</f>
        <v>497000</v>
      </c>
      <c r="D21" s="22">
        <f>Jun20!P21</f>
        <v>0</v>
      </c>
      <c r="E21" s="9"/>
      <c r="F21" s="52"/>
      <c r="G21" s="14"/>
      <c r="H21" s="53"/>
      <c r="I21" s="9"/>
      <c r="J21" s="52"/>
      <c r="K21" s="14"/>
      <c r="L21" s="53"/>
      <c r="M21" s="14"/>
      <c r="N21" s="52"/>
      <c r="O21" s="121">
        <f t="shared" si="0"/>
        <v>497000</v>
      </c>
      <c r="P21" s="22"/>
    </row>
    <row r="22" spans="1:16" s="29" customFormat="1" ht="12.75">
      <c r="A22" s="49" t="s">
        <v>11</v>
      </c>
      <c r="B22" s="262" t="s">
        <v>105</v>
      </c>
      <c r="C22" s="18">
        <f>Jun20!O22</f>
        <v>454112.22</v>
      </c>
      <c r="D22" s="22">
        <f>Jun20!P22</f>
        <v>0</v>
      </c>
      <c r="E22" s="9"/>
      <c r="F22" s="52"/>
      <c r="G22" s="14"/>
      <c r="H22" s="53"/>
      <c r="I22" s="9"/>
      <c r="J22" s="52"/>
      <c r="K22" s="14"/>
      <c r="L22" s="53"/>
      <c r="M22" s="14"/>
      <c r="N22" s="52">
        <v>351612.22</v>
      </c>
      <c r="O22" s="121">
        <f t="shared" si="0"/>
        <v>102500</v>
      </c>
      <c r="P22" s="122"/>
    </row>
    <row r="23" spans="1:16" s="29" customFormat="1" ht="12.75">
      <c r="A23" s="74" t="s">
        <v>108</v>
      </c>
      <c r="B23" s="264" t="s">
        <v>106</v>
      </c>
      <c r="C23" s="18">
        <f>Jun20!O23</f>
        <v>1600</v>
      </c>
      <c r="D23" s="22">
        <f>Jun20!P23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>
        <v>1600</v>
      </c>
      <c r="O23" s="121">
        <f t="shared" si="0"/>
        <v>0</v>
      </c>
      <c r="P23" s="122"/>
    </row>
    <row r="24" spans="1:16" s="29" customFormat="1" ht="12.75">
      <c r="A24" s="49" t="s">
        <v>109</v>
      </c>
      <c r="B24" s="262" t="s">
        <v>107</v>
      </c>
      <c r="C24" s="18">
        <f>Jun20!O24</f>
        <v>0</v>
      </c>
      <c r="D24" s="22">
        <f>Jun20!P24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21">
        <f t="shared" si="0"/>
        <v>0</v>
      </c>
      <c r="P24" s="122"/>
    </row>
    <row r="25" spans="1:16" s="29" customFormat="1" ht="12.75">
      <c r="A25" s="49" t="s">
        <v>239</v>
      </c>
      <c r="B25" s="263" t="s">
        <v>240</v>
      </c>
      <c r="C25" s="18">
        <f>Jun20!O25</f>
        <v>0</v>
      </c>
      <c r="D25" s="22">
        <f>Jun20!P25</f>
        <v>0</v>
      </c>
      <c r="E25" s="9"/>
      <c r="F25" s="52"/>
      <c r="G25" s="14"/>
      <c r="H25" s="98"/>
      <c r="I25" s="9"/>
      <c r="J25" s="52"/>
      <c r="K25" s="14"/>
      <c r="L25" s="53"/>
      <c r="M25" s="14"/>
      <c r="N25" s="52"/>
      <c r="O25" s="121">
        <f t="shared" si="0"/>
        <v>0</v>
      </c>
      <c r="P25" s="122"/>
    </row>
    <row r="26" spans="1:16" s="29" customFormat="1" ht="12.75">
      <c r="A26" s="49" t="s">
        <v>238</v>
      </c>
      <c r="B26" s="263" t="s">
        <v>231</v>
      </c>
      <c r="C26" s="18">
        <f>Jun20!O26</f>
        <v>0</v>
      </c>
      <c r="D26" s="22">
        <f>Jun20!P26</f>
        <v>0</v>
      </c>
      <c r="E26" s="9"/>
      <c r="F26" s="52"/>
      <c r="G26" s="14"/>
      <c r="H26" s="98"/>
      <c r="I26" s="9"/>
      <c r="J26" s="52"/>
      <c r="K26" s="14"/>
      <c r="L26" s="53"/>
      <c r="M26" s="14"/>
      <c r="N26" s="52"/>
      <c r="O26" s="121">
        <f t="shared" si="0"/>
        <v>0</v>
      </c>
      <c r="P26" s="122"/>
    </row>
    <row r="27" spans="1:16" s="29" customFormat="1" ht="12.75">
      <c r="A27" s="49" t="s">
        <v>534</v>
      </c>
      <c r="B27" s="263" t="s">
        <v>526</v>
      </c>
      <c r="C27" s="18">
        <f>Jun20!O27</f>
        <v>0</v>
      </c>
      <c r="D27" s="22">
        <f>Jun20!P27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21">
        <f t="shared" si="0"/>
        <v>0</v>
      </c>
      <c r="P27" s="122"/>
    </row>
    <row r="28" spans="1:16" s="29" customFormat="1" ht="12.75">
      <c r="A28" s="49" t="s">
        <v>529</v>
      </c>
      <c r="B28" s="263" t="s">
        <v>520</v>
      </c>
      <c r="C28" s="18">
        <f>Jun20!O28</f>
        <v>0</v>
      </c>
      <c r="D28" s="22">
        <f>Jun20!P28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21">
        <f t="shared" si="0"/>
        <v>0</v>
      </c>
      <c r="P28" s="122"/>
    </row>
    <row r="29" spans="1:16" s="29" customFormat="1" ht="12.75">
      <c r="A29" s="49" t="s">
        <v>213</v>
      </c>
      <c r="B29" s="262" t="s">
        <v>209</v>
      </c>
      <c r="C29" s="18">
        <f>Jun20!O29</f>
        <v>14099.309999999998</v>
      </c>
      <c r="D29" s="22">
        <f>Jun20!P29</f>
        <v>0</v>
      </c>
      <c r="E29" s="9"/>
      <c r="F29" s="52"/>
      <c r="G29" s="14"/>
      <c r="H29" s="53"/>
      <c r="I29" s="9"/>
      <c r="J29" s="52"/>
      <c r="K29" s="14"/>
      <c r="L29" s="53"/>
      <c r="M29" s="14"/>
      <c r="N29" s="52"/>
      <c r="O29" s="121">
        <f t="shared" si="0"/>
        <v>14099.309999999998</v>
      </c>
      <c r="P29" s="122"/>
    </row>
    <row r="30" spans="1:16" s="29" customFormat="1" ht="12.75">
      <c r="A30" s="49" t="s">
        <v>201</v>
      </c>
      <c r="B30" s="262" t="s">
        <v>200</v>
      </c>
      <c r="C30" s="18">
        <f>Jun20!O30</f>
        <v>0</v>
      </c>
      <c r="D30" s="22">
        <f>Jun20!P30</f>
        <v>0</v>
      </c>
      <c r="E30" s="9"/>
      <c r="F30" s="52"/>
      <c r="G30" s="14"/>
      <c r="H30" s="53"/>
      <c r="I30" s="9"/>
      <c r="J30" s="52"/>
      <c r="K30" s="14"/>
      <c r="L30" s="53"/>
      <c r="M30" s="14"/>
      <c r="N30" s="52"/>
      <c r="O30" s="121">
        <f t="shared" si="0"/>
        <v>0</v>
      </c>
      <c r="P30" s="122"/>
    </row>
    <row r="31" spans="1:16" s="29" customFormat="1" ht="12.75">
      <c r="A31" s="49" t="s">
        <v>202</v>
      </c>
      <c r="B31" s="262" t="s">
        <v>203</v>
      </c>
      <c r="C31" s="18">
        <f>Jun20!O31</f>
        <v>0</v>
      </c>
      <c r="D31" s="22">
        <f>Jun20!P31</f>
        <v>0</v>
      </c>
      <c r="E31" s="9"/>
      <c r="F31" s="52"/>
      <c r="G31" s="14"/>
      <c r="H31" s="12"/>
      <c r="I31" s="9"/>
      <c r="J31" s="52"/>
      <c r="K31" s="14"/>
      <c r="L31" s="12"/>
      <c r="M31" s="14"/>
      <c r="N31" s="52"/>
      <c r="O31" s="121">
        <f t="shared" si="0"/>
        <v>0</v>
      </c>
      <c r="P31" s="122"/>
    </row>
    <row r="32" spans="1:16" s="29" customFormat="1" ht="12.75">
      <c r="A32" s="49" t="s">
        <v>315</v>
      </c>
      <c r="B32" s="262" t="s">
        <v>110</v>
      </c>
      <c r="C32" s="18">
        <f>Jun20!O32</f>
        <v>15395669.18</v>
      </c>
      <c r="D32" s="22">
        <f>Jun20!P32</f>
        <v>0</v>
      </c>
      <c r="E32" s="9"/>
      <c r="F32" s="52"/>
      <c r="G32" s="14"/>
      <c r="H32" s="12"/>
      <c r="I32" s="9"/>
      <c r="J32" s="52"/>
      <c r="K32" s="14"/>
      <c r="L32" s="12"/>
      <c r="M32" s="14"/>
      <c r="N32" s="52"/>
      <c r="O32" s="121">
        <f t="shared" si="0"/>
        <v>15395669.18</v>
      </c>
      <c r="P32" s="122"/>
    </row>
    <row r="33" spans="1:16" s="29" customFormat="1" ht="12.75">
      <c r="A33" s="49" t="s">
        <v>12</v>
      </c>
      <c r="B33" s="262" t="s">
        <v>111</v>
      </c>
      <c r="C33" s="18">
        <f>Jun20!O33</f>
        <v>1208049.99</v>
      </c>
      <c r="D33" s="22">
        <f>Jun20!P33</f>
        <v>0</v>
      </c>
      <c r="E33" s="9"/>
      <c r="F33" s="52"/>
      <c r="G33" s="14"/>
      <c r="H33" s="12"/>
      <c r="I33" s="9"/>
      <c r="J33" s="52"/>
      <c r="K33" s="14"/>
      <c r="L33" s="12"/>
      <c r="M33" s="14"/>
      <c r="N33" s="52"/>
      <c r="O33" s="121">
        <f t="shared" si="0"/>
        <v>1208049.99</v>
      </c>
      <c r="P33" s="122">
        <f>D33+F33+J33+N33+H33-E33-G33-I33-M33+L33-K33</f>
        <v>0</v>
      </c>
    </row>
    <row r="34" spans="1:16" s="29" customFormat="1" ht="12.75">
      <c r="A34" s="49" t="s">
        <v>120</v>
      </c>
      <c r="B34" s="262" t="s">
        <v>112</v>
      </c>
      <c r="C34" s="18">
        <f>Jun20!O34</f>
        <v>0</v>
      </c>
      <c r="D34" s="22">
        <f>Jun20!P34</f>
        <v>364327.7</v>
      </c>
      <c r="E34" s="9"/>
      <c r="F34" s="52"/>
      <c r="G34" s="14"/>
      <c r="H34" s="12"/>
      <c r="I34" s="9"/>
      <c r="J34" s="52"/>
      <c r="K34" s="14"/>
      <c r="L34" s="12"/>
      <c r="M34" s="14"/>
      <c r="N34" s="52"/>
      <c r="O34" s="121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262" t="s">
        <v>113</v>
      </c>
      <c r="C35" s="18">
        <f>Jun20!O35</f>
        <v>718378</v>
      </c>
      <c r="D35" s="22">
        <f>Jun20!P35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52"/>
      <c r="O35" s="121">
        <f t="shared" si="0"/>
        <v>718378</v>
      </c>
      <c r="P35" s="122">
        <f>D35+F35+J35+N35+H35-E35-G35-I35-M35+L35-K35</f>
        <v>0</v>
      </c>
    </row>
    <row r="36" spans="1:16" s="29" customFormat="1" ht="12.75">
      <c r="A36" s="49" t="s">
        <v>115</v>
      </c>
      <c r="B36" s="262" t="s">
        <v>121</v>
      </c>
      <c r="C36" s="18">
        <f>Jun20!O36</f>
        <v>0</v>
      </c>
      <c r="D36" s="22">
        <f>Jun20!P36</f>
        <v>422310.89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21"/>
      <c r="P36" s="122">
        <f>D36+F36+J36+N36+H36-E36-G36-I36-M36+L36-K36</f>
        <v>422310.89</v>
      </c>
    </row>
    <row r="37" spans="1:16" s="29" customFormat="1" ht="12.75">
      <c r="A37" s="49" t="s">
        <v>39</v>
      </c>
      <c r="B37" s="262" t="s">
        <v>117</v>
      </c>
      <c r="C37" s="18">
        <f>Jun20!O37</f>
        <v>40426250</v>
      </c>
      <c r="D37" s="22">
        <f>Jun20!P37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121">
        <f t="shared" si="0"/>
        <v>40426250</v>
      </c>
      <c r="P37" s="122">
        <f>D37+F37+J37+N37+H37-E37-G37-I37-M37+L37-K37</f>
        <v>0</v>
      </c>
    </row>
    <row r="38" spans="1:16" s="29" customFormat="1" ht="12.75">
      <c r="A38" s="49" t="s">
        <v>40</v>
      </c>
      <c r="B38" s="262" t="s">
        <v>116</v>
      </c>
      <c r="C38" s="18">
        <f>Jun20!O38</f>
        <v>0</v>
      </c>
      <c r="D38" s="22">
        <f>Jun20!P38</f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121">
        <f t="shared" si="0"/>
        <v>0</v>
      </c>
      <c r="P38" s="122"/>
    </row>
    <row r="39" spans="1:16" s="29" customFormat="1" ht="12.75">
      <c r="A39" s="49" t="s">
        <v>123</v>
      </c>
      <c r="B39" s="262" t="s">
        <v>124</v>
      </c>
      <c r="C39" s="18">
        <f>Jun20!O39</f>
        <v>0</v>
      </c>
      <c r="D39" s="22">
        <f>Jun20!P39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21">
        <f t="shared" si="0"/>
        <v>0</v>
      </c>
      <c r="P39" s="122">
        <f>D39+F39+J39+N39+H39-E39-G39-I39-M39+L39-K39</f>
        <v>0</v>
      </c>
    </row>
    <row r="40" spans="1:16" s="29" customFormat="1" ht="12.75">
      <c r="A40" s="49" t="s">
        <v>122</v>
      </c>
      <c r="B40" s="262" t="s">
        <v>125</v>
      </c>
      <c r="C40" s="18">
        <f>Jun20!O40</f>
        <v>0</v>
      </c>
      <c r="D40" s="22">
        <f>Jun20!P40</f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21">
        <f t="shared" si="0"/>
        <v>0</v>
      </c>
      <c r="P40" s="122"/>
    </row>
    <row r="41" spans="1:16" s="29" customFormat="1" ht="12.75">
      <c r="A41" s="49" t="s">
        <v>530</v>
      </c>
      <c r="B41" s="262" t="s">
        <v>533</v>
      </c>
      <c r="C41" s="18">
        <f>Jun20!O43</f>
        <v>40622</v>
      </c>
      <c r="D41" s="22">
        <f>Jun20!P43</f>
        <v>0</v>
      </c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121">
        <f t="shared" si="0"/>
        <v>40622</v>
      </c>
      <c r="P41" s="122">
        <f>D41+F41+J41+N41+H41-E41-G41-I41-M41+L41-K41</f>
        <v>0</v>
      </c>
    </row>
    <row r="42" spans="1:16" s="29" customFormat="1" ht="12.75">
      <c r="A42" s="49" t="s">
        <v>531</v>
      </c>
      <c r="B42" s="262" t="s">
        <v>532</v>
      </c>
      <c r="C42" s="18">
        <f>Jun20!O44</f>
        <v>0</v>
      </c>
      <c r="D42" s="22">
        <f>Jun20!P44</f>
        <v>9647.73</v>
      </c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21"/>
      <c r="P42" s="122">
        <f>D42+F42+J42+N42+H42-E42-G42-I42-M42+L42-K42</f>
        <v>9647.73</v>
      </c>
    </row>
    <row r="43" spans="1:16" s="29" customFormat="1" ht="12.75">
      <c r="A43" s="49" t="s">
        <v>128</v>
      </c>
      <c r="B43" s="262" t="s">
        <v>130</v>
      </c>
      <c r="C43" s="18">
        <f>Jun20!O45</f>
        <v>545970</v>
      </c>
      <c r="D43" s="22">
        <f>Jun20!P45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21">
        <f t="shared" si="0"/>
        <v>545970</v>
      </c>
      <c r="P43" s="122">
        <f>D43+F43+J43+N43+H43-E43-G43-I43-M43+L43-K43</f>
        <v>0</v>
      </c>
    </row>
    <row r="44" spans="1:16" s="29" customFormat="1" ht="12.75">
      <c r="A44" s="49" t="s">
        <v>129</v>
      </c>
      <c r="B44" s="262" t="s">
        <v>131</v>
      </c>
      <c r="C44" s="18">
        <f>Jun20!O46</f>
        <v>0</v>
      </c>
      <c r="D44" s="22">
        <f>Jun20!P46</f>
        <v>370243.56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21"/>
      <c r="P44" s="122">
        <f>D44+F44+J44+N44+H44-E44-G44-I44-M44+L44-K44</f>
        <v>370243.56</v>
      </c>
    </row>
    <row r="45" spans="1:16" s="29" customFormat="1" ht="12.75">
      <c r="A45" s="49" t="s">
        <v>41</v>
      </c>
      <c r="B45" s="262" t="s">
        <v>126</v>
      </c>
      <c r="C45" s="18">
        <f>Jun20!O47</f>
        <v>2391000</v>
      </c>
      <c r="D45" s="22">
        <f>Jun20!P47</f>
        <v>0</v>
      </c>
      <c r="E45" s="9"/>
      <c r="F45" s="52"/>
      <c r="G45" s="14"/>
      <c r="H45" s="12"/>
      <c r="I45" s="9"/>
      <c r="J45" s="52"/>
      <c r="K45" s="14"/>
      <c r="L45" s="12"/>
      <c r="M45" s="14">
        <v>949000</v>
      </c>
      <c r="N45" s="52"/>
      <c r="O45" s="121">
        <f t="shared" si="0"/>
        <v>3340000</v>
      </c>
      <c r="P45" s="122"/>
    </row>
    <row r="46" spans="1:16" s="29" customFormat="1" ht="12.75">
      <c r="A46" s="49" t="s">
        <v>42</v>
      </c>
      <c r="B46" s="262" t="s">
        <v>127</v>
      </c>
      <c r="C46" s="18">
        <f>Jun20!O48</f>
        <v>0</v>
      </c>
      <c r="D46" s="22">
        <f>Jun20!P48</f>
        <v>854100</v>
      </c>
      <c r="E46" s="9"/>
      <c r="F46" s="52"/>
      <c r="G46" s="14"/>
      <c r="H46" s="12"/>
      <c r="I46" s="9"/>
      <c r="J46" s="52"/>
      <c r="K46" s="14"/>
      <c r="L46" s="12"/>
      <c r="M46" s="14"/>
      <c r="N46" s="52">
        <v>854100</v>
      </c>
      <c r="O46" s="121"/>
      <c r="P46" s="122">
        <f>D46+F46+J46+N46+H46-E46-G46-I46-M46+L46-K46</f>
        <v>1708200</v>
      </c>
    </row>
    <row r="47" spans="1:16" s="29" customFormat="1" ht="12.75">
      <c r="A47" s="49" t="s">
        <v>13</v>
      </c>
      <c r="B47" s="262" t="s">
        <v>118</v>
      </c>
      <c r="C47" s="18">
        <f>Jun20!O49</f>
        <v>631727.2</v>
      </c>
      <c r="D47" s="22">
        <f>Jun20!P49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21">
        <f t="shared" si="0"/>
        <v>631727.2</v>
      </c>
      <c r="P47" s="122">
        <f>D47+F47+J47+N47+H47-E47-G47-I47-M47+L47-K47</f>
        <v>0</v>
      </c>
    </row>
    <row r="48" spans="1:16" s="29" customFormat="1" ht="12.75">
      <c r="A48" s="49" t="s">
        <v>14</v>
      </c>
      <c r="B48" s="262" t="s">
        <v>119</v>
      </c>
      <c r="C48" s="18">
        <f>Jun20!O50</f>
        <v>0</v>
      </c>
      <c r="D48" s="22">
        <f>Jun20!P50</f>
        <v>319092.84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21"/>
      <c r="P48" s="122">
        <f>D48+F48+J48+N48+H48-E48-G48-I48-M48+L48-K48</f>
        <v>319092.84</v>
      </c>
    </row>
    <row r="49" spans="1:17" s="29" customFormat="1" ht="12.75">
      <c r="A49" s="49" t="s">
        <v>680</v>
      </c>
      <c r="B49" s="262" t="s">
        <v>681</v>
      </c>
      <c r="C49" s="18">
        <f>Jun20!O51</f>
        <v>0</v>
      </c>
      <c r="D49" s="22">
        <f>Jun20!P51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121">
        <f t="shared" si="0"/>
        <v>0</v>
      </c>
      <c r="P49" s="122"/>
      <c r="Q49" s="55"/>
    </row>
    <row r="50" spans="1:17" s="29" customFormat="1" ht="12.75" customHeight="1">
      <c r="A50" s="49" t="s">
        <v>683</v>
      </c>
      <c r="B50" s="262" t="s">
        <v>682</v>
      </c>
      <c r="C50" s="18">
        <f>Jun20!O52</f>
        <v>0</v>
      </c>
      <c r="D50" s="22">
        <f>Jun20!P52</f>
        <v>0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21"/>
      <c r="P50" s="122">
        <f>D50+F50+J50+N50+H50-E50-G50-I50-M50+L50-K50</f>
        <v>0</v>
      </c>
      <c r="Q50" s="55"/>
    </row>
    <row r="51" spans="1:17" s="29" customFormat="1" ht="12.75" customHeight="1">
      <c r="A51" s="49" t="s">
        <v>559</v>
      </c>
      <c r="B51" s="262" t="s">
        <v>558</v>
      </c>
      <c r="C51" s="18">
        <f>Jun20!O53</f>
        <v>0</v>
      </c>
      <c r="D51" s="22">
        <f>Jun20!P53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21">
        <f t="shared" si="0"/>
        <v>0</v>
      </c>
      <c r="P51" s="122"/>
      <c r="Q51" s="55"/>
    </row>
    <row r="52" spans="1:16" s="29" customFormat="1" ht="12.75">
      <c r="A52" s="54" t="s">
        <v>15</v>
      </c>
      <c r="B52" s="262" t="s">
        <v>132</v>
      </c>
      <c r="C52" s="18">
        <f>Jun20!O54</f>
        <v>327763.39</v>
      </c>
      <c r="D52" s="22">
        <f>Jun20!P54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21">
        <f t="shared" si="0"/>
        <v>327763.39</v>
      </c>
      <c r="P52" s="122">
        <f aca="true" t="shared" si="1" ref="P52:P71">D52+F52+J52+N52+H52-E52-G52-I52-M52+L52-K52</f>
        <v>0</v>
      </c>
    </row>
    <row r="53" spans="1:16" s="29" customFormat="1" ht="12.75">
      <c r="A53" s="8"/>
      <c r="B53" s="249"/>
      <c r="C53" s="18">
        <f>Jun20!O55</f>
        <v>0</v>
      </c>
      <c r="D53" s="22">
        <f>Jun20!P55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21"/>
      <c r="P53" s="122">
        <f t="shared" si="1"/>
        <v>0</v>
      </c>
    </row>
    <row r="54" spans="1:17" s="29" customFormat="1" ht="12.75">
      <c r="A54" s="7" t="s">
        <v>16</v>
      </c>
      <c r="B54" s="249"/>
      <c r="C54" s="18">
        <f>Jun20!O56</f>
        <v>0</v>
      </c>
      <c r="D54" s="22">
        <f>Jun20!P56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14"/>
      <c r="O54" s="121"/>
      <c r="P54" s="122">
        <f t="shared" si="1"/>
        <v>0</v>
      </c>
      <c r="Q54" s="55"/>
    </row>
    <row r="55" spans="1:17" s="29" customFormat="1" ht="12.75">
      <c r="A55" s="49" t="s">
        <v>31</v>
      </c>
      <c r="B55" s="262" t="s">
        <v>133</v>
      </c>
      <c r="C55" s="18">
        <f>Jun20!O57</f>
        <v>0</v>
      </c>
      <c r="D55" s="22">
        <f>Jun20!P57</f>
        <v>35250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21"/>
      <c r="P55" s="122">
        <f t="shared" si="1"/>
        <v>35250</v>
      </c>
      <c r="Q55" s="55"/>
    </row>
    <row r="56" spans="1:17" s="29" customFormat="1" ht="12.75">
      <c r="A56" s="49" t="s">
        <v>46</v>
      </c>
      <c r="B56" s="262" t="s">
        <v>134</v>
      </c>
      <c r="C56" s="18">
        <f>Jun20!O58</f>
        <v>0</v>
      </c>
      <c r="D56" s="22">
        <f>Jun20!P58</f>
        <v>275339.65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21"/>
      <c r="P56" s="122">
        <f t="shared" si="1"/>
        <v>275339.65</v>
      </c>
      <c r="Q56" s="55"/>
    </row>
    <row r="57" spans="1:16" s="29" customFormat="1" ht="12.75">
      <c r="A57" s="74" t="s">
        <v>685</v>
      </c>
      <c r="B57" s="264" t="s">
        <v>684</v>
      </c>
      <c r="C57" s="18">
        <f>Jun20!O59</f>
        <v>0</v>
      </c>
      <c r="D57" s="22">
        <f>Jun20!P59</f>
        <v>553767.2700000003</v>
      </c>
      <c r="E57" s="9"/>
      <c r="F57" s="52"/>
      <c r="G57" s="14"/>
      <c r="H57" s="12"/>
      <c r="I57" s="9"/>
      <c r="J57" s="52"/>
      <c r="K57" s="14"/>
      <c r="L57" s="12"/>
      <c r="M57" s="14"/>
      <c r="N57" s="14"/>
      <c r="O57" s="121"/>
      <c r="P57" s="122">
        <f t="shared" si="1"/>
        <v>553767.2700000003</v>
      </c>
    </row>
    <row r="58" spans="1:17" s="29" customFormat="1" ht="12.75">
      <c r="A58" s="74" t="s">
        <v>686</v>
      </c>
      <c r="B58" s="264" t="s">
        <v>688</v>
      </c>
      <c r="C58" s="18">
        <f>Jun20!O60</f>
        <v>0</v>
      </c>
      <c r="D58" s="22">
        <f>Jun20!P60</f>
        <v>10448.25999999998</v>
      </c>
      <c r="E58" s="9"/>
      <c r="F58" s="52"/>
      <c r="G58" s="14"/>
      <c r="H58" s="12"/>
      <c r="I58" s="9"/>
      <c r="J58" s="52"/>
      <c r="K58" s="14"/>
      <c r="L58" s="12"/>
      <c r="M58" s="14"/>
      <c r="N58" s="52"/>
      <c r="O58" s="121"/>
      <c r="P58" s="122">
        <f t="shared" si="1"/>
        <v>10448.25999999998</v>
      </c>
      <c r="Q58" s="55"/>
    </row>
    <row r="59" spans="1:16" s="29" customFormat="1" ht="12.75">
      <c r="A59" s="74" t="s">
        <v>687</v>
      </c>
      <c r="B59" s="264" t="s">
        <v>689</v>
      </c>
      <c r="C59" s="18">
        <f>Jun20!O61</f>
        <v>0</v>
      </c>
      <c r="D59" s="22">
        <f>Jun20!P61</f>
        <v>11777.859999999997</v>
      </c>
      <c r="E59" s="25"/>
      <c r="F59" s="26"/>
      <c r="G59" s="27"/>
      <c r="H59" s="28"/>
      <c r="I59" s="25"/>
      <c r="J59" s="26"/>
      <c r="K59" s="27"/>
      <c r="L59" s="28"/>
      <c r="M59" s="27"/>
      <c r="N59" s="26"/>
      <c r="O59" s="121"/>
      <c r="P59" s="122">
        <f t="shared" si="1"/>
        <v>11777.859999999997</v>
      </c>
    </row>
    <row r="60" spans="1:16" s="29" customFormat="1" ht="12.75">
      <c r="A60" s="49" t="s">
        <v>690</v>
      </c>
      <c r="B60" s="262" t="s">
        <v>692</v>
      </c>
      <c r="C60" s="18">
        <f>Jun20!O62</f>
        <v>0</v>
      </c>
      <c r="D60" s="22">
        <f>Jun20!P62</f>
        <v>5526.359999999999</v>
      </c>
      <c r="E60" s="25"/>
      <c r="F60" s="26"/>
      <c r="G60" s="27"/>
      <c r="H60" s="28"/>
      <c r="I60" s="25"/>
      <c r="J60" s="26"/>
      <c r="K60" s="27"/>
      <c r="L60" s="28"/>
      <c r="M60" s="27"/>
      <c r="N60" s="26"/>
      <c r="O60" s="121"/>
      <c r="P60" s="122">
        <f t="shared" si="1"/>
        <v>5526.359999999999</v>
      </c>
    </row>
    <row r="61" spans="1:17" s="29" customFormat="1" ht="12.75">
      <c r="A61" s="49" t="s">
        <v>691</v>
      </c>
      <c r="B61" s="262" t="s">
        <v>693</v>
      </c>
      <c r="C61" s="18">
        <f>Jun20!O63</f>
        <v>0</v>
      </c>
      <c r="D61" s="22">
        <f>Jun20!P63</f>
        <v>2084.67</v>
      </c>
      <c r="E61" s="25"/>
      <c r="F61" s="26"/>
      <c r="G61" s="27"/>
      <c r="H61" s="28"/>
      <c r="I61" s="25"/>
      <c r="J61" s="26"/>
      <c r="K61" s="27"/>
      <c r="L61" s="28"/>
      <c r="M61" s="27"/>
      <c r="N61" s="26"/>
      <c r="O61" s="121"/>
      <c r="P61" s="122">
        <f t="shared" si="1"/>
        <v>2084.67</v>
      </c>
      <c r="Q61" s="276"/>
    </row>
    <row r="62" spans="1:17" s="29" customFormat="1" ht="12.75">
      <c r="A62" s="49" t="s">
        <v>47</v>
      </c>
      <c r="B62" s="262" t="s">
        <v>137</v>
      </c>
      <c r="C62" s="18">
        <f>Jun20!O64</f>
        <v>0</v>
      </c>
      <c r="D62" s="22">
        <f>Jun20!P64</f>
        <v>15714.96000000001</v>
      </c>
      <c r="E62" s="25"/>
      <c r="F62" s="26"/>
      <c r="G62" s="27"/>
      <c r="H62" s="28"/>
      <c r="I62" s="25"/>
      <c r="J62" s="26"/>
      <c r="K62" s="27"/>
      <c r="L62" s="28"/>
      <c r="M62" s="27"/>
      <c r="N62" s="26"/>
      <c r="O62" s="121"/>
      <c r="P62" s="122">
        <f t="shared" si="1"/>
        <v>15714.96000000001</v>
      </c>
      <c r="Q62" s="276"/>
    </row>
    <row r="63" spans="1:17" s="29" customFormat="1" ht="12.75">
      <c r="A63" s="74" t="s">
        <v>59</v>
      </c>
      <c r="B63" s="264" t="s">
        <v>138</v>
      </c>
      <c r="C63" s="18">
        <f>Jun20!O65</f>
        <v>0</v>
      </c>
      <c r="D63" s="22">
        <f>Jun20!P65</f>
        <v>8399.370000000023</v>
      </c>
      <c r="E63" s="25"/>
      <c r="F63" s="26"/>
      <c r="G63" s="27"/>
      <c r="H63" s="28"/>
      <c r="I63" s="25"/>
      <c r="J63" s="26"/>
      <c r="K63" s="27"/>
      <c r="L63" s="28"/>
      <c r="M63" s="27"/>
      <c r="N63" s="26"/>
      <c r="O63" s="121"/>
      <c r="P63" s="122">
        <f t="shared" si="1"/>
        <v>8399.370000000023</v>
      </c>
      <c r="Q63" s="276"/>
    </row>
    <row r="64" spans="1:17" s="29" customFormat="1" ht="12.75">
      <c r="A64" s="49" t="s">
        <v>17</v>
      </c>
      <c r="B64" s="262" t="s">
        <v>139</v>
      </c>
      <c r="C64" s="18">
        <f>Jun20!O66</f>
        <v>0</v>
      </c>
      <c r="D64" s="22">
        <f>Jun20!P66</f>
        <v>0</v>
      </c>
      <c r="E64" s="326"/>
      <c r="F64" s="25"/>
      <c r="G64" s="27"/>
      <c r="H64" s="28"/>
      <c r="I64" s="25"/>
      <c r="J64" s="26"/>
      <c r="K64" s="27"/>
      <c r="L64" s="28"/>
      <c r="M64" s="27"/>
      <c r="N64" s="26"/>
      <c r="O64" s="121"/>
      <c r="P64" s="122">
        <f t="shared" si="1"/>
        <v>0</v>
      </c>
      <c r="Q64" s="276"/>
    </row>
    <row r="65" spans="1:17" s="29" customFormat="1" ht="12.75">
      <c r="A65" s="8"/>
      <c r="B65" s="249"/>
      <c r="C65" s="18">
        <f>Jun20!O67</f>
        <v>0</v>
      </c>
      <c r="D65" s="22">
        <f>Jun20!P67</f>
        <v>0</v>
      </c>
      <c r="E65" s="326"/>
      <c r="F65" s="25"/>
      <c r="G65" s="27"/>
      <c r="H65" s="28"/>
      <c r="I65" s="25"/>
      <c r="J65" s="26"/>
      <c r="K65" s="27"/>
      <c r="L65" s="28"/>
      <c r="M65" s="27"/>
      <c r="N65" s="26"/>
      <c r="O65" s="121"/>
      <c r="P65" s="122">
        <f t="shared" si="1"/>
        <v>0</v>
      </c>
      <c r="Q65" s="276"/>
    </row>
    <row r="66" spans="1:17" s="29" customFormat="1" ht="12.75">
      <c r="A66" s="7" t="s">
        <v>32</v>
      </c>
      <c r="B66" s="249"/>
      <c r="C66" s="18">
        <f>Jun20!O68</f>
        <v>0</v>
      </c>
      <c r="D66" s="22">
        <f>Jun20!P68</f>
        <v>0</v>
      </c>
      <c r="E66" s="326"/>
      <c r="F66" s="25"/>
      <c r="G66" s="27"/>
      <c r="H66" s="28"/>
      <c r="I66" s="25"/>
      <c r="J66" s="26"/>
      <c r="K66" s="27"/>
      <c r="L66" s="28"/>
      <c r="M66" s="27"/>
      <c r="N66" s="26"/>
      <c r="O66" s="121"/>
      <c r="P66" s="122">
        <f t="shared" si="1"/>
        <v>0</v>
      </c>
      <c r="Q66" s="276"/>
    </row>
    <row r="67" spans="1:17" s="29" customFormat="1" ht="12.75">
      <c r="A67" s="49" t="s">
        <v>18</v>
      </c>
      <c r="B67" s="262" t="s">
        <v>140</v>
      </c>
      <c r="C67" s="18">
        <f>Jun20!O69</f>
        <v>0</v>
      </c>
      <c r="D67" s="22">
        <f>Jun20!P69</f>
        <v>93682852.88</v>
      </c>
      <c r="E67" s="326"/>
      <c r="F67" s="25"/>
      <c r="G67" s="27"/>
      <c r="H67" s="28"/>
      <c r="I67" s="25"/>
      <c r="J67" s="26"/>
      <c r="K67" s="27"/>
      <c r="L67" s="28"/>
      <c r="M67" s="27">
        <v>83100784.1</v>
      </c>
      <c r="N67" s="26">
        <f>84180621.97+94900</f>
        <v>84275521.97</v>
      </c>
      <c r="O67" s="121"/>
      <c r="P67" s="122">
        <f t="shared" si="1"/>
        <v>94857590.75</v>
      </c>
      <c r="Q67" s="276"/>
    </row>
    <row r="68" spans="1:17" s="29" customFormat="1" ht="13.5" customHeight="1">
      <c r="A68" s="49" t="s">
        <v>142</v>
      </c>
      <c r="B68" s="249" t="s">
        <v>141</v>
      </c>
      <c r="C68" s="18">
        <f>Jun20!O70</f>
        <v>0</v>
      </c>
      <c r="D68" s="22">
        <f>Jun20!P70</f>
        <v>63721913.62</v>
      </c>
      <c r="E68" s="326"/>
      <c r="F68" s="25"/>
      <c r="G68" s="27"/>
      <c r="H68" s="28"/>
      <c r="I68" s="25"/>
      <c r="J68" s="26"/>
      <c r="K68" s="27"/>
      <c r="L68" s="28"/>
      <c r="M68" s="27">
        <v>63721913.62</v>
      </c>
      <c r="N68" s="26"/>
      <c r="O68" s="121"/>
      <c r="P68" s="122">
        <f t="shared" si="1"/>
        <v>0</v>
      </c>
      <c r="Q68" s="276"/>
    </row>
    <row r="69" spans="1:17" s="29" customFormat="1" ht="13.5" customHeight="1">
      <c r="A69" s="49" t="s">
        <v>673</v>
      </c>
      <c r="B69" s="249" t="s">
        <v>745</v>
      </c>
      <c r="C69" s="18">
        <f>Jun20!O71</f>
        <v>0</v>
      </c>
      <c r="D69" s="22">
        <f>Jun20!P71</f>
        <v>20458708.35</v>
      </c>
      <c r="E69" s="326"/>
      <c r="F69" s="25"/>
      <c r="G69" s="27"/>
      <c r="H69" s="28"/>
      <c r="I69" s="25"/>
      <c r="J69" s="26"/>
      <c r="K69" s="27"/>
      <c r="L69" s="28"/>
      <c r="M69" s="27">
        <v>20458708.35</v>
      </c>
      <c r="N69" s="26"/>
      <c r="O69" s="121"/>
      <c r="P69" s="122">
        <f t="shared" si="1"/>
        <v>0</v>
      </c>
      <c r="Q69" s="527"/>
    </row>
    <row r="70" spans="1:17" s="29" customFormat="1" ht="12.75" customHeight="1">
      <c r="A70" s="49" t="s">
        <v>569</v>
      </c>
      <c r="B70" s="249"/>
      <c r="C70" s="18">
        <f>Jun20!O72</f>
        <v>0</v>
      </c>
      <c r="D70" s="22">
        <f>Jun20!P72</f>
        <v>0</v>
      </c>
      <c r="E70" s="326"/>
      <c r="F70" s="25"/>
      <c r="G70" s="27"/>
      <c r="H70" s="28"/>
      <c r="I70" s="25"/>
      <c r="J70" s="26"/>
      <c r="K70" s="27"/>
      <c r="L70" s="28"/>
      <c r="M70" s="27">
        <f>83100784.1+1079837.87</f>
        <v>84180621.97</v>
      </c>
      <c r="N70" s="26">
        <v>84180621.97</v>
      </c>
      <c r="O70" s="121">
        <f aca="true" t="shared" si="2" ref="O70:O83">C70+E70+I70+M70-D70-F70-J70-N70+G70-H70+K70-L70</f>
        <v>0</v>
      </c>
      <c r="P70" s="122">
        <f t="shared" si="1"/>
        <v>0</v>
      </c>
      <c r="Q70" s="276"/>
    </row>
    <row r="71" spans="1:17" s="29" customFormat="1" ht="12.75">
      <c r="A71" s="4" t="s">
        <v>19</v>
      </c>
      <c r="B71" s="248"/>
      <c r="C71" s="18">
        <f>Jun20!O73</f>
        <v>0</v>
      </c>
      <c r="D71" s="22">
        <f>Jun20!P73</f>
        <v>0</v>
      </c>
      <c r="E71" s="326"/>
      <c r="F71" s="25"/>
      <c r="G71" s="27"/>
      <c r="H71" s="28"/>
      <c r="I71" s="25"/>
      <c r="J71" s="26"/>
      <c r="K71" s="27"/>
      <c r="L71" s="28"/>
      <c r="M71" s="27"/>
      <c r="N71" s="26"/>
      <c r="O71" s="121">
        <f t="shared" si="2"/>
        <v>0</v>
      </c>
      <c r="P71" s="122">
        <f t="shared" si="1"/>
        <v>0</v>
      </c>
      <c r="Q71" s="276"/>
    </row>
    <row r="72" spans="1:17" s="29" customFormat="1" ht="12.75">
      <c r="A72" s="23" t="s">
        <v>143</v>
      </c>
      <c r="B72" s="265" t="s">
        <v>144</v>
      </c>
      <c r="C72" s="18">
        <f>Jun20!O74</f>
        <v>7681315.8100000005</v>
      </c>
      <c r="D72" s="22">
        <f>Jun20!P74</f>
        <v>0</v>
      </c>
      <c r="E72" s="326"/>
      <c r="F72" s="25"/>
      <c r="G72" s="27"/>
      <c r="H72" s="28"/>
      <c r="I72" s="25"/>
      <c r="J72" s="26"/>
      <c r="K72" s="27"/>
      <c r="L72" s="28"/>
      <c r="M72" s="27"/>
      <c r="N72" s="26">
        <v>7681315.81</v>
      </c>
      <c r="O72" s="121">
        <f t="shared" si="2"/>
        <v>9.313225746154785E-10</v>
      </c>
      <c r="P72" s="122"/>
      <c r="Q72" s="276"/>
    </row>
    <row r="73" spans="1:17" s="29" customFormat="1" ht="12.75">
      <c r="A73" s="23" t="s">
        <v>20</v>
      </c>
      <c r="B73" s="265" t="s">
        <v>145</v>
      </c>
      <c r="C73" s="18">
        <f>Jun20!O75</f>
        <v>258000</v>
      </c>
      <c r="D73" s="22">
        <f>Jun20!P75</f>
        <v>0</v>
      </c>
      <c r="E73" s="326"/>
      <c r="F73" s="25"/>
      <c r="G73" s="27"/>
      <c r="H73" s="28"/>
      <c r="I73" s="25"/>
      <c r="J73" s="26"/>
      <c r="K73" s="27"/>
      <c r="L73" s="28"/>
      <c r="M73" s="27"/>
      <c r="N73" s="26">
        <v>258000</v>
      </c>
      <c r="O73" s="121">
        <f t="shared" si="2"/>
        <v>0</v>
      </c>
      <c r="P73" s="122"/>
      <c r="Q73" s="276"/>
    </row>
    <row r="74" spans="1:17" s="29" customFormat="1" ht="12.75">
      <c r="A74" s="23" t="s">
        <v>21</v>
      </c>
      <c r="B74" s="265" t="s">
        <v>146</v>
      </c>
      <c r="C74" s="18">
        <f>Jun20!O76</f>
        <v>114000</v>
      </c>
      <c r="D74" s="22">
        <f>Jun20!P76</f>
        <v>0</v>
      </c>
      <c r="E74" s="326"/>
      <c r="F74" s="25"/>
      <c r="G74" s="27"/>
      <c r="H74" s="28"/>
      <c r="I74" s="25"/>
      <c r="J74" s="26"/>
      <c r="K74" s="27"/>
      <c r="L74" s="28"/>
      <c r="M74" s="27"/>
      <c r="N74" s="26">
        <v>114000</v>
      </c>
      <c r="O74" s="121">
        <f t="shared" si="2"/>
        <v>0</v>
      </c>
      <c r="P74" s="122"/>
      <c r="Q74" s="276"/>
    </row>
    <row r="75" spans="1:17" s="29" customFormat="1" ht="12.75">
      <c r="A75" s="23" t="s">
        <v>22</v>
      </c>
      <c r="B75" s="265" t="s">
        <v>147</v>
      </c>
      <c r="C75" s="18">
        <f>Jun20!O77</f>
        <v>114000</v>
      </c>
      <c r="D75" s="22">
        <f>Jun20!P77</f>
        <v>0</v>
      </c>
      <c r="E75" s="326"/>
      <c r="F75" s="25"/>
      <c r="G75" s="27"/>
      <c r="H75" s="28"/>
      <c r="I75" s="25"/>
      <c r="J75" s="26"/>
      <c r="K75" s="27"/>
      <c r="L75" s="28"/>
      <c r="M75" s="27"/>
      <c r="N75" s="26">
        <v>114000</v>
      </c>
      <c r="O75" s="121">
        <f t="shared" si="2"/>
        <v>0</v>
      </c>
      <c r="P75" s="122"/>
      <c r="Q75" s="276"/>
    </row>
    <row r="76" spans="1:17" s="29" customFormat="1" ht="12.75">
      <c r="A76" s="23" t="s">
        <v>67</v>
      </c>
      <c r="B76" s="265" t="s">
        <v>527</v>
      </c>
      <c r="C76" s="18">
        <f>Jun20!O78</f>
        <v>408000</v>
      </c>
      <c r="D76" s="22">
        <f>Jun20!P78</f>
        <v>0</v>
      </c>
      <c r="E76" s="326"/>
      <c r="F76" s="25"/>
      <c r="G76" s="27"/>
      <c r="H76" s="28"/>
      <c r="I76" s="25"/>
      <c r="J76" s="26"/>
      <c r="K76" s="27"/>
      <c r="L76" s="28"/>
      <c r="M76" s="27"/>
      <c r="N76" s="26">
        <v>408000</v>
      </c>
      <c r="O76" s="121">
        <f t="shared" si="2"/>
        <v>0</v>
      </c>
      <c r="P76" s="122"/>
      <c r="Q76" s="276"/>
    </row>
    <row r="77" spans="1:17" s="29" customFormat="1" ht="12.75">
      <c r="A77" s="23" t="s">
        <v>149</v>
      </c>
      <c r="B77" s="265" t="s">
        <v>148</v>
      </c>
      <c r="C77" s="18">
        <f>Jun20!O79</f>
        <v>0</v>
      </c>
      <c r="D77" s="22">
        <f>Jun20!P79</f>
        <v>0</v>
      </c>
      <c r="E77" s="326"/>
      <c r="F77" s="25"/>
      <c r="G77" s="27"/>
      <c r="H77" s="28"/>
      <c r="I77" s="25"/>
      <c r="J77" s="26"/>
      <c r="K77" s="27"/>
      <c r="L77" s="28"/>
      <c r="M77" s="27"/>
      <c r="N77" s="26"/>
      <c r="O77" s="121">
        <f t="shared" si="2"/>
        <v>0</v>
      </c>
      <c r="P77" s="122"/>
      <c r="Q77" s="276"/>
    </row>
    <row r="78" spans="1:17" s="29" customFormat="1" ht="12.75" customHeight="1">
      <c r="A78" s="23" t="s">
        <v>66</v>
      </c>
      <c r="B78" s="265" t="s">
        <v>150</v>
      </c>
      <c r="C78" s="18">
        <f>Jun20!O80</f>
        <v>0</v>
      </c>
      <c r="D78" s="22">
        <f>Jun20!P80</f>
        <v>0</v>
      </c>
      <c r="E78" s="326"/>
      <c r="F78" s="25"/>
      <c r="G78" s="27"/>
      <c r="H78" s="28"/>
      <c r="I78" s="25"/>
      <c r="J78" s="26"/>
      <c r="K78" s="27"/>
      <c r="L78" s="28"/>
      <c r="M78" s="27"/>
      <c r="N78" s="26"/>
      <c r="O78" s="121">
        <f t="shared" si="2"/>
        <v>0</v>
      </c>
      <c r="P78" s="122"/>
      <c r="Q78" s="276"/>
    </row>
    <row r="79" spans="1:17" s="29" customFormat="1" ht="12.75">
      <c r="A79" s="23" t="s">
        <v>221</v>
      </c>
      <c r="B79" s="265" t="s">
        <v>537</v>
      </c>
      <c r="C79" s="18">
        <f>Jun20!O81</f>
        <v>0</v>
      </c>
      <c r="D79" s="22">
        <f>Jun20!P81</f>
        <v>0</v>
      </c>
      <c r="E79" s="326"/>
      <c r="F79" s="25"/>
      <c r="G79" s="27"/>
      <c r="H79" s="28"/>
      <c r="I79" s="25"/>
      <c r="J79" s="26"/>
      <c r="K79" s="27"/>
      <c r="L79" s="28"/>
      <c r="M79" s="27"/>
      <c r="N79" s="26"/>
      <c r="O79" s="121">
        <f t="shared" si="2"/>
        <v>0</v>
      </c>
      <c r="P79" s="122"/>
      <c r="Q79" s="276"/>
    </row>
    <row r="80" spans="1:17" s="29" customFormat="1" ht="12.75">
      <c r="A80" s="23" t="s">
        <v>76</v>
      </c>
      <c r="B80" s="265" t="s">
        <v>153</v>
      </c>
      <c r="C80" s="18">
        <f>Jun20!O82</f>
        <v>0</v>
      </c>
      <c r="D80" s="22">
        <f>Jun20!P82</f>
        <v>0</v>
      </c>
      <c r="E80" s="326"/>
      <c r="F80" s="25"/>
      <c r="G80" s="27"/>
      <c r="H80" s="28"/>
      <c r="I80" s="25"/>
      <c r="J80" s="26"/>
      <c r="K80" s="27"/>
      <c r="L80" s="28"/>
      <c r="M80" s="27"/>
      <c r="N80" s="26"/>
      <c r="O80" s="121">
        <f t="shared" si="2"/>
        <v>0</v>
      </c>
      <c r="P80" s="122"/>
      <c r="Q80" s="276"/>
    </row>
    <row r="81" spans="1:17" s="29" customFormat="1" ht="13.5" customHeight="1">
      <c r="A81" s="23" t="s">
        <v>242</v>
      </c>
      <c r="B81" s="265" t="s">
        <v>234</v>
      </c>
      <c r="C81" s="18">
        <f>Jun20!O83</f>
        <v>0</v>
      </c>
      <c r="D81" s="22">
        <f>Jun20!P83</f>
        <v>0</v>
      </c>
      <c r="E81" s="326"/>
      <c r="F81" s="25"/>
      <c r="G81" s="27"/>
      <c r="H81" s="28"/>
      <c r="I81" s="25"/>
      <c r="J81" s="26"/>
      <c r="K81" s="27"/>
      <c r="L81" s="28"/>
      <c r="M81" s="27"/>
      <c r="N81" s="26"/>
      <c r="O81" s="121">
        <f t="shared" si="2"/>
        <v>0</v>
      </c>
      <c r="P81" s="122"/>
      <c r="Q81" s="276"/>
    </row>
    <row r="82" spans="1:17" s="29" customFormat="1" ht="12.75">
      <c r="A82" s="23" t="s">
        <v>75</v>
      </c>
      <c r="B82" s="265" t="s">
        <v>152</v>
      </c>
      <c r="C82" s="18">
        <f>Jun20!O84</f>
        <v>0</v>
      </c>
      <c r="D82" s="22">
        <f>Jun20!P84</f>
        <v>0</v>
      </c>
      <c r="E82" s="326"/>
      <c r="F82" s="25"/>
      <c r="G82" s="27"/>
      <c r="H82" s="28"/>
      <c r="I82" s="25"/>
      <c r="J82" s="26"/>
      <c r="K82" s="27"/>
      <c r="L82" s="28"/>
      <c r="M82" s="27"/>
      <c r="N82" s="26"/>
      <c r="O82" s="121">
        <f t="shared" si="2"/>
        <v>0</v>
      </c>
      <c r="P82" s="122"/>
      <c r="Q82" s="276"/>
    </row>
    <row r="83" spans="1:17" s="29" customFormat="1" ht="12.75">
      <c r="A83" s="23" t="s">
        <v>70</v>
      </c>
      <c r="B83" s="265" t="s">
        <v>151</v>
      </c>
      <c r="C83" s="18">
        <f>Jun20!O85</f>
        <v>0</v>
      </c>
      <c r="D83" s="22">
        <f>Jun20!P85</f>
        <v>0</v>
      </c>
      <c r="E83" s="326"/>
      <c r="F83" s="25"/>
      <c r="G83" s="27"/>
      <c r="H83" s="28"/>
      <c r="I83" s="25"/>
      <c r="J83" s="26"/>
      <c r="K83" s="27"/>
      <c r="L83" s="28"/>
      <c r="M83" s="27"/>
      <c r="N83" s="26"/>
      <c r="O83" s="121">
        <f t="shared" si="2"/>
        <v>0</v>
      </c>
      <c r="P83" s="122"/>
      <c r="Q83" s="276"/>
    </row>
    <row r="84" spans="1:17" s="29" customFormat="1" ht="12.75">
      <c r="A84" s="23" t="s">
        <v>562</v>
      </c>
      <c r="B84" s="265" t="s">
        <v>563</v>
      </c>
      <c r="C84" s="18">
        <f>Jun20!O86</f>
        <v>193000</v>
      </c>
      <c r="D84" s="22">
        <f>Jun20!P86</f>
        <v>0</v>
      </c>
      <c r="E84" s="326"/>
      <c r="F84" s="25"/>
      <c r="G84" s="27"/>
      <c r="H84" s="28"/>
      <c r="I84" s="25"/>
      <c r="J84" s="26"/>
      <c r="K84" s="27"/>
      <c r="L84" s="28"/>
      <c r="M84" s="27"/>
      <c r="N84" s="26">
        <v>193000</v>
      </c>
      <c r="O84" s="121">
        <f aca="true" t="shared" si="3" ref="O84:O147">C84+E84+I84+M84-D84-F84-J84-N84+G84-H84+K84-L84</f>
        <v>0</v>
      </c>
      <c r="P84" s="122"/>
      <c r="Q84" s="276"/>
    </row>
    <row r="85" spans="1:17" s="29" customFormat="1" ht="12.75">
      <c r="A85" s="23" t="s">
        <v>564</v>
      </c>
      <c r="B85" s="265" t="s">
        <v>565</v>
      </c>
      <c r="C85" s="18">
        <f>Jun20!O87</f>
        <v>0</v>
      </c>
      <c r="D85" s="22">
        <f>Jun20!P87</f>
        <v>0</v>
      </c>
      <c r="E85" s="326"/>
      <c r="F85" s="25"/>
      <c r="G85" s="27"/>
      <c r="H85" s="28"/>
      <c r="I85" s="25"/>
      <c r="J85" s="26"/>
      <c r="K85" s="27"/>
      <c r="L85" s="28"/>
      <c r="M85" s="27"/>
      <c r="N85" s="26"/>
      <c r="O85" s="121">
        <f t="shared" si="3"/>
        <v>0</v>
      </c>
      <c r="P85" s="122"/>
      <c r="Q85" s="276"/>
    </row>
    <row r="86" spans="1:17" s="29" customFormat="1" ht="12.75">
      <c r="A86" s="23" t="s">
        <v>553</v>
      </c>
      <c r="B86" s="265" t="s">
        <v>554</v>
      </c>
      <c r="C86" s="18">
        <f>Jun20!O88</f>
        <v>0</v>
      </c>
      <c r="D86" s="22">
        <f>Jun20!P88</f>
        <v>0</v>
      </c>
      <c r="E86" s="326"/>
      <c r="F86" s="25"/>
      <c r="G86" s="27"/>
      <c r="H86" s="28"/>
      <c r="I86" s="25"/>
      <c r="J86" s="26"/>
      <c r="K86" s="27"/>
      <c r="L86" s="28"/>
      <c r="M86" s="27"/>
      <c r="N86" s="26"/>
      <c r="O86" s="121">
        <f t="shared" si="3"/>
        <v>0</v>
      </c>
      <c r="P86" s="122"/>
      <c r="Q86" s="276"/>
    </row>
    <row r="87" spans="1:17" s="29" customFormat="1" ht="12.75">
      <c r="A87" s="23" t="s">
        <v>33</v>
      </c>
      <c r="B87" s="265" t="s">
        <v>154</v>
      </c>
      <c r="C87" s="18">
        <f>Jun20!O89</f>
        <v>274097.64</v>
      </c>
      <c r="D87" s="22">
        <f>Jun20!P89</f>
        <v>0</v>
      </c>
      <c r="E87" s="326"/>
      <c r="F87" s="25"/>
      <c r="G87" s="27"/>
      <c r="H87" s="28"/>
      <c r="I87" s="25"/>
      <c r="J87" s="26"/>
      <c r="K87" s="27"/>
      <c r="L87" s="28"/>
      <c r="M87" s="27"/>
      <c r="N87" s="26">
        <v>274097.64</v>
      </c>
      <c r="O87" s="121">
        <f t="shared" si="3"/>
        <v>0</v>
      </c>
      <c r="P87" s="122"/>
      <c r="Q87" s="276"/>
    </row>
    <row r="88" spans="1:17" s="29" customFormat="1" ht="12.75">
      <c r="A88" s="23" t="s">
        <v>34</v>
      </c>
      <c r="B88" s="265" t="s">
        <v>155</v>
      </c>
      <c r="C88" s="18">
        <f>Jun20!O90</f>
        <v>18808.079999999998</v>
      </c>
      <c r="D88" s="22">
        <f>Jun20!P90</f>
        <v>0</v>
      </c>
      <c r="E88" s="326"/>
      <c r="F88" s="25"/>
      <c r="G88" s="27"/>
      <c r="H88" s="28"/>
      <c r="I88" s="25"/>
      <c r="J88" s="26"/>
      <c r="K88" s="27"/>
      <c r="L88" s="28"/>
      <c r="M88" s="27"/>
      <c r="N88" s="26">
        <v>18808.08</v>
      </c>
      <c r="O88" s="121">
        <f t="shared" si="3"/>
        <v>-3.637978807091713E-12</v>
      </c>
      <c r="P88" s="122"/>
      <c r="Q88" s="276"/>
    </row>
    <row r="89" spans="1:17" s="29" customFormat="1" ht="12.75">
      <c r="A89" s="23" t="s">
        <v>35</v>
      </c>
      <c r="B89" s="265" t="s">
        <v>156</v>
      </c>
      <c r="C89" s="18">
        <f>Jun20!O91</f>
        <v>91994.23</v>
      </c>
      <c r="D89" s="22">
        <f>Jun20!P91</f>
        <v>0</v>
      </c>
      <c r="E89" s="326"/>
      <c r="F89" s="25"/>
      <c r="G89" s="27"/>
      <c r="H89" s="28"/>
      <c r="I89" s="25"/>
      <c r="J89" s="26"/>
      <c r="K89" s="27"/>
      <c r="L89" s="28"/>
      <c r="M89" s="27"/>
      <c r="N89" s="26">
        <v>91994.23</v>
      </c>
      <c r="O89" s="121">
        <f t="shared" si="3"/>
        <v>0</v>
      </c>
      <c r="P89" s="122"/>
      <c r="Q89" s="276"/>
    </row>
    <row r="90" spans="1:17" s="29" customFormat="1" ht="12.75">
      <c r="A90" s="23" t="s">
        <v>36</v>
      </c>
      <c r="B90" s="265" t="s">
        <v>157</v>
      </c>
      <c r="C90" s="18">
        <f>Jun20!O92</f>
        <v>12000</v>
      </c>
      <c r="D90" s="22">
        <f>Jun20!P92</f>
        <v>0</v>
      </c>
      <c r="E90" s="326"/>
      <c r="F90" s="25"/>
      <c r="G90" s="27"/>
      <c r="H90" s="28"/>
      <c r="I90" s="25"/>
      <c r="J90" s="26"/>
      <c r="K90" s="27"/>
      <c r="L90" s="28"/>
      <c r="M90" s="27"/>
      <c r="N90" s="26">
        <v>12000</v>
      </c>
      <c r="O90" s="121">
        <f t="shared" si="3"/>
        <v>0</v>
      </c>
      <c r="P90" s="122"/>
      <c r="Q90" s="276"/>
    </row>
    <row r="91" spans="1:17" s="29" customFormat="1" ht="12.75">
      <c r="A91" s="23" t="s">
        <v>698</v>
      </c>
      <c r="B91" s="265" t="s">
        <v>699</v>
      </c>
      <c r="C91" s="18">
        <f>Jun20!O93</f>
        <v>0</v>
      </c>
      <c r="D91" s="22">
        <f>Jun20!P93</f>
        <v>0</v>
      </c>
      <c r="E91" s="326"/>
      <c r="F91" s="25"/>
      <c r="G91" s="27"/>
      <c r="H91" s="28"/>
      <c r="I91" s="25"/>
      <c r="J91" s="26"/>
      <c r="K91" s="27"/>
      <c r="L91" s="28"/>
      <c r="M91" s="27"/>
      <c r="N91" s="26"/>
      <c r="O91" s="121">
        <f t="shared" si="3"/>
        <v>0</v>
      </c>
      <c r="P91" s="122"/>
      <c r="Q91" s="276"/>
    </row>
    <row r="92" spans="1:17" s="29" customFormat="1" ht="12.75">
      <c r="A92" s="23" t="s">
        <v>208</v>
      </c>
      <c r="B92" s="265" t="s">
        <v>207</v>
      </c>
      <c r="C92" s="18">
        <f>Jun20!O94</f>
        <v>1435033.81</v>
      </c>
      <c r="D92" s="22">
        <f>Jun20!P94</f>
        <v>0</v>
      </c>
      <c r="E92" s="326"/>
      <c r="F92" s="25"/>
      <c r="G92" s="27"/>
      <c r="H92" s="28"/>
      <c r="I92" s="25"/>
      <c r="J92" s="26"/>
      <c r="K92" s="27"/>
      <c r="L92" s="28"/>
      <c r="M92" s="27"/>
      <c r="N92" s="26">
        <v>1305914</v>
      </c>
      <c r="O92" s="121">
        <f t="shared" si="3"/>
        <v>129119.81000000006</v>
      </c>
      <c r="P92" s="122"/>
      <c r="Q92" s="276"/>
    </row>
    <row r="93" spans="1:17" s="29" customFormat="1" ht="12.75">
      <c r="A93" s="23" t="s">
        <v>719</v>
      </c>
      <c r="B93" s="265" t="s">
        <v>720</v>
      </c>
      <c r="C93" s="18">
        <f>Jun20!O95</f>
        <v>755292</v>
      </c>
      <c r="D93" s="22">
        <f>Jun20!P95</f>
        <v>0</v>
      </c>
      <c r="E93" s="326"/>
      <c r="F93" s="25"/>
      <c r="G93" s="27"/>
      <c r="H93" s="28"/>
      <c r="I93" s="25"/>
      <c r="J93" s="26"/>
      <c r="K93" s="27"/>
      <c r="L93" s="28"/>
      <c r="M93" s="27"/>
      <c r="N93" s="26">
        <v>755292</v>
      </c>
      <c r="O93" s="121">
        <f t="shared" si="3"/>
        <v>0</v>
      </c>
      <c r="P93" s="122"/>
      <c r="Q93" s="276"/>
    </row>
    <row r="94" spans="1:17" s="29" customFormat="1" ht="12.75">
      <c r="A94" s="23" t="s">
        <v>28</v>
      </c>
      <c r="B94" s="265" t="s">
        <v>158</v>
      </c>
      <c r="C94" s="18">
        <f>Jun20!O96</f>
        <v>544193.6</v>
      </c>
      <c r="D94" s="22">
        <f>Jun20!P96</f>
        <v>0</v>
      </c>
      <c r="E94" s="326"/>
      <c r="F94" s="25"/>
      <c r="G94" s="27"/>
      <c r="H94" s="28"/>
      <c r="I94" s="25"/>
      <c r="J94" s="26"/>
      <c r="K94" s="27"/>
      <c r="L94" s="28"/>
      <c r="M94" s="27"/>
      <c r="N94" s="26">
        <v>458895.6</v>
      </c>
      <c r="O94" s="121">
        <f t="shared" si="3"/>
        <v>85298</v>
      </c>
      <c r="P94" s="122"/>
      <c r="Q94" s="276"/>
    </row>
    <row r="95" spans="1:17" s="29" customFormat="1" ht="12.75">
      <c r="A95" s="23" t="s">
        <v>243</v>
      </c>
      <c r="B95" s="265" t="s">
        <v>236</v>
      </c>
      <c r="C95" s="18">
        <f>Jun20!O97</f>
        <v>0</v>
      </c>
      <c r="D95" s="22">
        <f>Jun20!P97</f>
        <v>0</v>
      </c>
      <c r="E95" s="326"/>
      <c r="F95" s="25"/>
      <c r="G95" s="27"/>
      <c r="H95" s="28"/>
      <c r="I95" s="25"/>
      <c r="J95" s="26"/>
      <c r="K95" s="27"/>
      <c r="L95" s="28"/>
      <c r="M95" s="27"/>
      <c r="N95" s="26"/>
      <c r="O95" s="121">
        <f t="shared" si="3"/>
        <v>0</v>
      </c>
      <c r="P95" s="122"/>
      <c r="Q95" s="276"/>
    </row>
    <row r="96" spans="1:17" s="29" customFormat="1" ht="12.75">
      <c r="A96" s="23" t="s">
        <v>27</v>
      </c>
      <c r="B96" s="265" t="s">
        <v>159</v>
      </c>
      <c r="C96" s="18">
        <f>Jun20!O98</f>
        <v>3110341.25</v>
      </c>
      <c r="D96" s="22">
        <f>Jun20!P98</f>
        <v>0</v>
      </c>
      <c r="E96" s="326"/>
      <c r="F96" s="25"/>
      <c r="G96" s="27"/>
      <c r="H96" s="28"/>
      <c r="I96" s="25"/>
      <c r="J96" s="26"/>
      <c r="K96" s="27"/>
      <c r="L96" s="28"/>
      <c r="M96" s="27"/>
      <c r="N96" s="26">
        <v>3110341.25</v>
      </c>
      <c r="O96" s="121">
        <f t="shared" si="3"/>
        <v>0</v>
      </c>
      <c r="P96" s="122"/>
      <c r="Q96" s="276"/>
    </row>
    <row r="97" spans="1:17" s="29" customFormat="1" ht="12.75">
      <c r="A97" s="23" t="s">
        <v>160</v>
      </c>
      <c r="B97" s="265" t="s">
        <v>161</v>
      </c>
      <c r="C97" s="18">
        <f>Jun20!O99</f>
        <v>0</v>
      </c>
      <c r="D97" s="22">
        <f>Jun20!P99</f>
        <v>0</v>
      </c>
      <c r="E97" s="326"/>
      <c r="F97" s="25"/>
      <c r="G97" s="27"/>
      <c r="H97" s="28"/>
      <c r="I97" s="25"/>
      <c r="J97" s="26"/>
      <c r="K97" s="27"/>
      <c r="L97" s="28"/>
      <c r="M97" s="27"/>
      <c r="N97" s="26"/>
      <c r="O97" s="121">
        <f t="shared" si="3"/>
        <v>0</v>
      </c>
      <c r="P97" s="122"/>
      <c r="Q97" s="276"/>
    </row>
    <row r="98" spans="1:17" s="29" customFormat="1" ht="12.75">
      <c r="A98" s="23" t="s">
        <v>216</v>
      </c>
      <c r="B98" s="265" t="s">
        <v>162</v>
      </c>
      <c r="C98" s="18">
        <f>Jun20!O100</f>
        <v>6701.75</v>
      </c>
      <c r="D98" s="22">
        <f>Jun20!P100</f>
        <v>0</v>
      </c>
      <c r="E98" s="326"/>
      <c r="F98" s="25"/>
      <c r="G98" s="27"/>
      <c r="H98" s="28"/>
      <c r="I98" s="25"/>
      <c r="J98" s="26"/>
      <c r="K98" s="27"/>
      <c r="L98" s="28"/>
      <c r="M98" s="27">
        <v>351612.22</v>
      </c>
      <c r="N98" s="26">
        <v>358313.97</v>
      </c>
      <c r="O98" s="121">
        <f t="shared" si="3"/>
        <v>0</v>
      </c>
      <c r="P98" s="122"/>
      <c r="Q98" s="276"/>
    </row>
    <row r="99" spans="1:17" s="29" customFormat="1" ht="12.75">
      <c r="A99" s="23" t="s">
        <v>56</v>
      </c>
      <c r="B99" s="265" t="s">
        <v>163</v>
      </c>
      <c r="C99" s="18">
        <f>Jun20!O101</f>
        <v>0</v>
      </c>
      <c r="D99" s="22">
        <f>Jun20!P101</f>
        <v>0</v>
      </c>
      <c r="E99" s="326"/>
      <c r="F99" s="25"/>
      <c r="G99" s="27"/>
      <c r="H99" s="28"/>
      <c r="I99" s="25"/>
      <c r="J99" s="26"/>
      <c r="K99" s="27"/>
      <c r="L99" s="28"/>
      <c r="M99" s="27">
        <v>1600</v>
      </c>
      <c r="N99" s="26">
        <v>1600</v>
      </c>
      <c r="O99" s="121">
        <f t="shared" si="3"/>
        <v>0</v>
      </c>
      <c r="P99" s="122"/>
      <c r="Q99" s="276"/>
    </row>
    <row r="100" spans="1:17" s="29" customFormat="1" ht="12.75">
      <c r="A100" s="23" t="s">
        <v>217</v>
      </c>
      <c r="B100" s="265" t="s">
        <v>218</v>
      </c>
      <c r="C100" s="18">
        <f>Jun20!O102</f>
        <v>0</v>
      </c>
      <c r="D100" s="22">
        <f>Jun20!P102</f>
        <v>0</v>
      </c>
      <c r="E100" s="326"/>
      <c r="F100" s="25"/>
      <c r="G100" s="27"/>
      <c r="H100" s="28"/>
      <c r="I100" s="25"/>
      <c r="J100" s="26"/>
      <c r="K100" s="27"/>
      <c r="L100" s="28"/>
      <c r="M100" s="27"/>
      <c r="N100" s="26"/>
      <c r="O100" s="121">
        <f t="shared" si="3"/>
        <v>0</v>
      </c>
      <c r="P100" s="122"/>
      <c r="Q100" s="276"/>
    </row>
    <row r="101" spans="1:17" s="29" customFormat="1" ht="12.75">
      <c r="A101" s="23" t="s">
        <v>164</v>
      </c>
      <c r="B101" s="265" t="s">
        <v>165</v>
      </c>
      <c r="C101" s="18">
        <f>Jun20!O103</f>
        <v>31323.26</v>
      </c>
      <c r="D101" s="22">
        <f>Jun20!P103</f>
        <v>0</v>
      </c>
      <c r="E101" s="326"/>
      <c r="F101" s="25"/>
      <c r="G101" s="27"/>
      <c r="H101" s="28"/>
      <c r="I101" s="25"/>
      <c r="J101" s="26"/>
      <c r="K101" s="27"/>
      <c r="L101" s="28"/>
      <c r="M101" s="27"/>
      <c r="N101" s="26">
        <v>31323.26</v>
      </c>
      <c r="O101" s="121">
        <f t="shared" si="3"/>
        <v>0</v>
      </c>
      <c r="P101" s="122"/>
      <c r="Q101" s="276"/>
    </row>
    <row r="102" spans="1:17" s="29" customFormat="1" ht="12.75">
      <c r="A102" s="23" t="s">
        <v>570</v>
      </c>
      <c r="B102" s="265" t="s">
        <v>556</v>
      </c>
      <c r="C102" s="18">
        <f>Jun20!O104</f>
        <v>0</v>
      </c>
      <c r="D102" s="22">
        <f>Jun20!P104</f>
        <v>0</v>
      </c>
      <c r="E102" s="326"/>
      <c r="F102" s="25"/>
      <c r="G102" s="27"/>
      <c r="H102" s="28"/>
      <c r="I102" s="25"/>
      <c r="J102" s="26"/>
      <c r="K102" s="27"/>
      <c r="L102" s="28"/>
      <c r="M102" s="27"/>
      <c r="N102" s="26"/>
      <c r="O102" s="121">
        <f t="shared" si="3"/>
        <v>0</v>
      </c>
      <c r="P102" s="122"/>
      <c r="Q102" s="276"/>
    </row>
    <row r="103" spans="1:17" s="29" customFormat="1" ht="12.75">
      <c r="A103" s="23" t="s">
        <v>535</v>
      </c>
      <c r="B103" s="265" t="s">
        <v>521</v>
      </c>
      <c r="C103" s="18">
        <f>Jun20!O105</f>
        <v>0</v>
      </c>
      <c r="D103" s="22">
        <f>Jun20!P105</f>
        <v>0</v>
      </c>
      <c r="E103" s="326"/>
      <c r="F103" s="25"/>
      <c r="G103" s="27"/>
      <c r="H103" s="28"/>
      <c r="I103" s="25"/>
      <c r="J103" s="26"/>
      <c r="K103" s="27"/>
      <c r="L103" s="28"/>
      <c r="M103" s="27"/>
      <c r="N103" s="26"/>
      <c r="O103" s="121">
        <f t="shared" si="3"/>
        <v>0</v>
      </c>
      <c r="P103" s="122"/>
      <c r="Q103" s="276"/>
    </row>
    <row r="104" spans="1:17" s="29" customFormat="1" ht="12.75">
      <c r="A104" s="23" t="s">
        <v>536</v>
      </c>
      <c r="B104" s="265" t="s">
        <v>522</v>
      </c>
      <c r="C104" s="18">
        <f>Jun20!O106</f>
        <v>0</v>
      </c>
      <c r="D104" s="22">
        <f>Jun20!P106</f>
        <v>0</v>
      </c>
      <c r="E104" s="326"/>
      <c r="F104" s="25"/>
      <c r="G104" s="27"/>
      <c r="H104" s="28"/>
      <c r="I104" s="25"/>
      <c r="J104" s="26"/>
      <c r="K104" s="27"/>
      <c r="L104" s="28"/>
      <c r="M104" s="27"/>
      <c r="N104" s="26"/>
      <c r="O104" s="121">
        <f t="shared" si="3"/>
        <v>0</v>
      </c>
      <c r="P104" s="122"/>
      <c r="Q104" s="276"/>
    </row>
    <row r="105" spans="1:17" s="29" customFormat="1" ht="12.75">
      <c r="A105" s="23" t="s">
        <v>571</v>
      </c>
      <c r="B105" s="265" t="s">
        <v>572</v>
      </c>
      <c r="C105" s="18">
        <f>Jun20!O107</f>
        <v>0</v>
      </c>
      <c r="D105" s="22">
        <f>Jun20!P107</f>
        <v>0</v>
      </c>
      <c r="E105" s="326"/>
      <c r="F105" s="25"/>
      <c r="G105" s="27"/>
      <c r="H105" s="28"/>
      <c r="I105" s="25"/>
      <c r="J105" s="26"/>
      <c r="K105" s="27"/>
      <c r="L105" s="28"/>
      <c r="M105" s="27"/>
      <c r="N105" s="26"/>
      <c r="O105" s="121">
        <f t="shared" si="3"/>
        <v>0</v>
      </c>
      <c r="P105" s="122"/>
      <c r="Q105" s="276"/>
    </row>
    <row r="106" spans="1:17" s="29" customFormat="1" ht="12.75">
      <c r="A106" s="23" t="s">
        <v>573</v>
      </c>
      <c r="B106" s="265" t="s">
        <v>557</v>
      </c>
      <c r="C106" s="18">
        <f>Jun20!O108</f>
        <v>0</v>
      </c>
      <c r="D106" s="22">
        <f>Jun20!P108</f>
        <v>0</v>
      </c>
      <c r="E106" s="326"/>
      <c r="F106" s="25"/>
      <c r="G106" s="27"/>
      <c r="H106" s="28"/>
      <c r="I106" s="25"/>
      <c r="J106" s="26"/>
      <c r="K106" s="27"/>
      <c r="L106" s="28"/>
      <c r="M106" s="27"/>
      <c r="N106" s="26"/>
      <c r="O106" s="121">
        <f t="shared" si="3"/>
        <v>0</v>
      </c>
      <c r="P106" s="122"/>
      <c r="Q106" s="276"/>
    </row>
    <row r="107" spans="1:17" s="29" customFormat="1" ht="12.75">
      <c r="A107" s="23" t="s">
        <v>241</v>
      </c>
      <c r="B107" s="265" t="s">
        <v>235</v>
      </c>
      <c r="C107" s="18">
        <f>Jun20!O109</f>
        <v>0</v>
      </c>
      <c r="D107" s="22">
        <f>Jun20!P109</f>
        <v>0</v>
      </c>
      <c r="E107" s="326"/>
      <c r="F107" s="25"/>
      <c r="G107" s="27"/>
      <c r="H107" s="28"/>
      <c r="I107" s="25"/>
      <c r="J107" s="26"/>
      <c r="K107" s="27"/>
      <c r="L107" s="28"/>
      <c r="M107" s="27"/>
      <c r="N107" s="26"/>
      <c r="O107" s="121">
        <f t="shared" si="3"/>
        <v>0</v>
      </c>
      <c r="P107" s="122"/>
      <c r="Q107" s="276"/>
    </row>
    <row r="108" spans="1:17" s="29" customFormat="1" ht="12.75">
      <c r="A108" s="23" t="s">
        <v>166</v>
      </c>
      <c r="B108" s="265" t="s">
        <v>167</v>
      </c>
      <c r="C108" s="18">
        <f>Jun20!O110</f>
        <v>1779.25</v>
      </c>
      <c r="D108" s="22">
        <f>Jun20!P110</f>
        <v>0</v>
      </c>
      <c r="E108" s="326"/>
      <c r="F108" s="25"/>
      <c r="G108" s="27"/>
      <c r="H108" s="28"/>
      <c r="I108" s="25"/>
      <c r="J108" s="26"/>
      <c r="K108" s="27"/>
      <c r="L108" s="28"/>
      <c r="M108" s="27"/>
      <c r="N108" s="26">
        <v>1779.25</v>
      </c>
      <c r="O108" s="121">
        <f t="shared" si="3"/>
        <v>0</v>
      </c>
      <c r="P108" s="122"/>
      <c r="Q108" s="276"/>
    </row>
    <row r="109" spans="1:17" s="29" customFormat="1" ht="12.75">
      <c r="A109" s="23" t="s">
        <v>37</v>
      </c>
      <c r="B109" s="265" t="s">
        <v>168</v>
      </c>
      <c r="C109" s="18">
        <f>Jun20!O111</f>
        <v>5901.799999999999</v>
      </c>
      <c r="D109" s="22">
        <f>Jun20!P111</f>
        <v>0</v>
      </c>
      <c r="E109" s="326"/>
      <c r="F109" s="25"/>
      <c r="G109" s="27"/>
      <c r="H109" s="28"/>
      <c r="I109" s="25"/>
      <c r="J109" s="26"/>
      <c r="K109" s="27"/>
      <c r="L109" s="28"/>
      <c r="M109" s="27"/>
      <c r="N109" s="26">
        <v>3432.2</v>
      </c>
      <c r="O109" s="121">
        <f t="shared" si="3"/>
        <v>2469.5999999999995</v>
      </c>
      <c r="P109" s="122"/>
      <c r="Q109" s="276"/>
    </row>
    <row r="110" spans="1:17" s="29" customFormat="1" ht="12.75">
      <c r="A110" s="23" t="s">
        <v>43</v>
      </c>
      <c r="B110" s="265" t="s">
        <v>169</v>
      </c>
      <c r="C110" s="18">
        <f>Jun20!O112</f>
        <v>82117.59</v>
      </c>
      <c r="D110" s="22">
        <f>Jun20!P112</f>
        <v>0</v>
      </c>
      <c r="E110" s="326"/>
      <c r="F110" s="25"/>
      <c r="G110" s="27"/>
      <c r="H110" s="28"/>
      <c r="I110" s="25"/>
      <c r="J110" s="26"/>
      <c r="K110" s="27"/>
      <c r="L110" s="28"/>
      <c r="M110" s="27"/>
      <c r="N110" s="26">
        <v>51808.08</v>
      </c>
      <c r="O110" s="121">
        <f t="shared" si="3"/>
        <v>30309.509999999995</v>
      </c>
      <c r="P110" s="122"/>
      <c r="Q110" s="276"/>
    </row>
    <row r="111" spans="1:17" s="29" customFormat="1" ht="12.75">
      <c r="A111" s="23" t="s">
        <v>694</v>
      </c>
      <c r="B111" s="265" t="s">
        <v>695</v>
      </c>
      <c r="C111" s="18">
        <f>Jun20!O113</f>
        <v>0</v>
      </c>
      <c r="D111" s="22">
        <f>Jun20!P113</f>
        <v>0</v>
      </c>
      <c r="E111" s="326"/>
      <c r="F111" s="25"/>
      <c r="G111" s="27"/>
      <c r="H111" s="28"/>
      <c r="I111" s="25"/>
      <c r="J111" s="26"/>
      <c r="K111" s="27"/>
      <c r="L111" s="28"/>
      <c r="M111" s="27"/>
      <c r="N111" s="26"/>
      <c r="O111" s="121">
        <f t="shared" si="3"/>
        <v>0</v>
      </c>
      <c r="P111" s="122"/>
      <c r="Q111" s="276"/>
    </row>
    <row r="112" spans="1:17" s="29" customFormat="1" ht="12.75">
      <c r="A112" s="23" t="s">
        <v>29</v>
      </c>
      <c r="B112" s="265" t="s">
        <v>170</v>
      </c>
      <c r="C112" s="18">
        <f>Jun20!O114</f>
        <v>23612.3</v>
      </c>
      <c r="D112" s="22">
        <f>Jun20!P114</f>
        <v>0</v>
      </c>
      <c r="E112" s="326"/>
      <c r="F112" s="25"/>
      <c r="G112" s="27"/>
      <c r="H112" s="28"/>
      <c r="I112" s="25"/>
      <c r="J112" s="26"/>
      <c r="K112" s="27"/>
      <c r="L112" s="28"/>
      <c r="M112" s="27"/>
      <c r="N112" s="26">
        <v>23612.3</v>
      </c>
      <c r="O112" s="121">
        <f t="shared" si="3"/>
        <v>0</v>
      </c>
      <c r="P112" s="122"/>
      <c r="Q112" s="276"/>
    </row>
    <row r="113" spans="1:17" s="29" customFormat="1" ht="12.75">
      <c r="A113" s="23" t="s">
        <v>194</v>
      </c>
      <c r="B113" s="265" t="s">
        <v>196</v>
      </c>
      <c r="C113" s="18">
        <f>Jun20!O115</f>
        <v>46453.850000000006</v>
      </c>
      <c r="D113" s="22">
        <f>Jun20!P115</f>
        <v>0</v>
      </c>
      <c r="E113" s="326"/>
      <c r="F113" s="25"/>
      <c r="G113" s="27"/>
      <c r="H113" s="28"/>
      <c r="I113" s="25"/>
      <c r="J113" s="26"/>
      <c r="K113" s="27"/>
      <c r="L113" s="28"/>
      <c r="M113" s="27"/>
      <c r="N113" s="26">
        <v>46194.62</v>
      </c>
      <c r="O113" s="121">
        <f t="shared" si="3"/>
        <v>259.2300000000032</v>
      </c>
      <c r="P113" s="122"/>
      <c r="Q113" s="276"/>
    </row>
    <row r="114" spans="1:17" s="29" customFormat="1" ht="12.75">
      <c r="A114" s="23" t="s">
        <v>195</v>
      </c>
      <c r="B114" s="265" t="s">
        <v>197</v>
      </c>
      <c r="C114" s="18">
        <f>Jun20!O116</f>
        <v>15451.15</v>
      </c>
      <c r="D114" s="22">
        <f>Jun20!P116</f>
        <v>0</v>
      </c>
      <c r="E114" s="326"/>
      <c r="F114" s="25"/>
      <c r="G114" s="27"/>
      <c r="H114" s="28"/>
      <c r="I114" s="25"/>
      <c r="J114" s="26"/>
      <c r="K114" s="27"/>
      <c r="L114" s="28"/>
      <c r="M114" s="27"/>
      <c r="N114" s="26">
        <v>13211.15</v>
      </c>
      <c r="O114" s="121">
        <f t="shared" si="3"/>
        <v>2240</v>
      </c>
      <c r="P114" s="122"/>
      <c r="Q114" s="276"/>
    </row>
    <row r="115" spans="1:17" s="29" customFormat="1" ht="12.75">
      <c r="A115" s="23" t="s">
        <v>171</v>
      </c>
      <c r="B115" s="265" t="s">
        <v>172</v>
      </c>
      <c r="C115" s="18">
        <f>Jun20!O117</f>
        <v>43409.19</v>
      </c>
      <c r="D115" s="22">
        <f>Jun20!P117</f>
        <v>0</v>
      </c>
      <c r="E115" s="326"/>
      <c r="F115" s="25"/>
      <c r="G115" s="27"/>
      <c r="H115" s="28"/>
      <c r="I115" s="25"/>
      <c r="J115" s="26"/>
      <c r="K115" s="27"/>
      <c r="L115" s="28"/>
      <c r="M115" s="27"/>
      <c r="N115" s="26">
        <v>24344.6</v>
      </c>
      <c r="O115" s="121">
        <f t="shared" si="3"/>
        <v>19064.590000000004</v>
      </c>
      <c r="P115" s="122"/>
      <c r="Q115" s="276"/>
    </row>
    <row r="116" spans="1:17" s="29" customFormat="1" ht="12.75">
      <c r="A116" s="23" t="s">
        <v>51</v>
      </c>
      <c r="B116" s="265" t="s">
        <v>173</v>
      </c>
      <c r="C116" s="18">
        <f>Jun20!O118</f>
        <v>300</v>
      </c>
      <c r="D116" s="22">
        <f>Jun20!P118</f>
        <v>0</v>
      </c>
      <c r="E116" s="326"/>
      <c r="F116" s="25"/>
      <c r="G116" s="27"/>
      <c r="H116" s="28"/>
      <c r="I116" s="25"/>
      <c r="J116" s="26"/>
      <c r="K116" s="27"/>
      <c r="L116" s="28"/>
      <c r="M116" s="27"/>
      <c r="N116" s="26">
        <v>300</v>
      </c>
      <c r="O116" s="121">
        <f t="shared" si="3"/>
        <v>0</v>
      </c>
      <c r="P116" s="122"/>
      <c r="Q116" s="276"/>
    </row>
    <row r="117" spans="1:17" s="29" customFormat="1" ht="12.75">
      <c r="A117" s="23" t="s">
        <v>539</v>
      </c>
      <c r="B117" s="265" t="s">
        <v>538</v>
      </c>
      <c r="C117" s="18">
        <f>Jun20!O119</f>
        <v>0</v>
      </c>
      <c r="D117" s="22">
        <f>Jun20!P119</f>
        <v>0</v>
      </c>
      <c r="E117" s="326"/>
      <c r="F117" s="25"/>
      <c r="G117" s="27"/>
      <c r="H117" s="28"/>
      <c r="I117" s="25"/>
      <c r="J117" s="26"/>
      <c r="K117" s="27"/>
      <c r="L117" s="28"/>
      <c r="M117" s="27"/>
      <c r="N117" s="26"/>
      <c r="O117" s="121">
        <f t="shared" si="3"/>
        <v>0</v>
      </c>
      <c r="P117" s="122"/>
      <c r="Q117" s="276"/>
    </row>
    <row r="118" spans="1:17" s="29" customFormat="1" ht="12.75">
      <c r="A118" s="23" t="s">
        <v>193</v>
      </c>
      <c r="B118" s="265" t="s">
        <v>190</v>
      </c>
      <c r="C118" s="18">
        <f>Jun20!O120</f>
        <v>55000.02</v>
      </c>
      <c r="D118" s="22">
        <f>Jun20!P120</f>
        <v>0</v>
      </c>
      <c r="E118" s="326"/>
      <c r="F118" s="25"/>
      <c r="G118" s="27"/>
      <c r="H118" s="28"/>
      <c r="I118" s="25"/>
      <c r="J118" s="26"/>
      <c r="K118" s="27"/>
      <c r="L118" s="28"/>
      <c r="M118" s="27"/>
      <c r="N118" s="26">
        <v>55000.02</v>
      </c>
      <c r="O118" s="121">
        <f t="shared" si="3"/>
        <v>0</v>
      </c>
      <c r="P118" s="122"/>
      <c r="Q118" s="276"/>
    </row>
    <row r="119" spans="1:17" s="29" customFormat="1" ht="12.75">
      <c r="A119" s="23" t="s">
        <v>71</v>
      </c>
      <c r="B119" s="265" t="s">
        <v>178</v>
      </c>
      <c r="C119" s="18">
        <f>Jun20!O121</f>
        <v>400</v>
      </c>
      <c r="D119" s="22">
        <f>Jun20!P121</f>
        <v>0</v>
      </c>
      <c r="E119" s="326"/>
      <c r="F119" s="25"/>
      <c r="G119" s="27"/>
      <c r="H119" s="28"/>
      <c r="I119" s="25"/>
      <c r="J119" s="26"/>
      <c r="K119" s="27"/>
      <c r="L119" s="28"/>
      <c r="M119" s="27"/>
      <c r="N119" s="26">
        <v>400</v>
      </c>
      <c r="O119" s="121">
        <f t="shared" si="3"/>
        <v>0</v>
      </c>
      <c r="P119" s="122"/>
      <c r="Q119" s="276"/>
    </row>
    <row r="120" spans="1:17" s="29" customFormat="1" ht="12.75">
      <c r="A120" s="23" t="s">
        <v>30</v>
      </c>
      <c r="B120" s="265" t="s">
        <v>179</v>
      </c>
      <c r="C120" s="18">
        <f>Jun20!O122</f>
        <v>0</v>
      </c>
      <c r="D120" s="22">
        <f>Jun20!P122</f>
        <v>0</v>
      </c>
      <c r="E120" s="326"/>
      <c r="F120" s="25"/>
      <c r="G120" s="27"/>
      <c r="H120" s="28"/>
      <c r="I120" s="25"/>
      <c r="J120" s="26"/>
      <c r="K120" s="27"/>
      <c r="L120" s="28"/>
      <c r="M120" s="27"/>
      <c r="N120" s="26"/>
      <c r="O120" s="121">
        <f t="shared" si="3"/>
        <v>0</v>
      </c>
      <c r="P120" s="122"/>
      <c r="Q120" s="276"/>
    </row>
    <row r="121" spans="1:17" s="29" customFormat="1" ht="12.75">
      <c r="A121" s="23" t="s">
        <v>198</v>
      </c>
      <c r="B121" s="265" t="s">
        <v>199</v>
      </c>
      <c r="C121" s="18">
        <f>Jun20!O123</f>
        <v>0</v>
      </c>
      <c r="D121" s="22">
        <f>Jun20!P123</f>
        <v>0</v>
      </c>
      <c r="E121" s="326"/>
      <c r="F121" s="25"/>
      <c r="G121" s="27"/>
      <c r="H121" s="28"/>
      <c r="I121" s="25"/>
      <c r="J121" s="26"/>
      <c r="K121" s="27"/>
      <c r="L121" s="28"/>
      <c r="M121" s="27"/>
      <c r="N121" s="26"/>
      <c r="O121" s="121">
        <f t="shared" si="3"/>
        <v>0</v>
      </c>
      <c r="P121" s="122"/>
      <c r="Q121" s="276"/>
    </row>
    <row r="122" spans="1:17" s="29" customFormat="1" ht="12.75">
      <c r="A122" s="23" t="s">
        <v>72</v>
      </c>
      <c r="B122" s="265" t="s">
        <v>182</v>
      </c>
      <c r="C122" s="18">
        <f>Jun20!O124</f>
        <v>351036.95999999996</v>
      </c>
      <c r="D122" s="22">
        <f>Jun20!P124</f>
        <v>0</v>
      </c>
      <c r="E122" s="326"/>
      <c r="F122" s="25"/>
      <c r="G122" s="27"/>
      <c r="H122" s="28"/>
      <c r="I122" s="25"/>
      <c r="J122" s="26"/>
      <c r="K122" s="27"/>
      <c r="L122" s="28"/>
      <c r="M122" s="27"/>
      <c r="N122" s="26"/>
      <c r="O122" s="121">
        <f t="shared" si="3"/>
        <v>351036.95999999996</v>
      </c>
      <c r="P122" s="122"/>
      <c r="Q122" s="276"/>
    </row>
    <row r="123" spans="1:17" s="29" customFormat="1" ht="12.75">
      <c r="A123" s="23" t="s">
        <v>65</v>
      </c>
      <c r="B123" s="265" t="s">
        <v>183</v>
      </c>
      <c r="C123" s="18">
        <f>Jun20!O125</f>
        <v>0</v>
      </c>
      <c r="D123" s="22">
        <f>Jun20!P125</f>
        <v>0</v>
      </c>
      <c r="E123" s="326"/>
      <c r="F123" s="25"/>
      <c r="G123" s="27"/>
      <c r="H123" s="28"/>
      <c r="I123" s="25"/>
      <c r="J123" s="26"/>
      <c r="K123" s="27"/>
      <c r="L123" s="28"/>
      <c r="M123" s="27"/>
      <c r="N123" s="26"/>
      <c r="O123" s="121">
        <f t="shared" si="3"/>
        <v>0</v>
      </c>
      <c r="P123" s="122"/>
      <c r="Q123" s="276"/>
    </row>
    <row r="124" spans="1:17" s="29" customFormat="1" ht="12.75">
      <c r="A124" s="23" t="s">
        <v>180</v>
      </c>
      <c r="B124" s="265" t="s">
        <v>181</v>
      </c>
      <c r="C124" s="18">
        <f>Jun20!O126</f>
        <v>0</v>
      </c>
      <c r="D124" s="22">
        <f>Jun20!P126</f>
        <v>0</v>
      </c>
      <c r="E124" s="326"/>
      <c r="F124" s="25"/>
      <c r="G124" s="27"/>
      <c r="H124" s="28"/>
      <c r="I124" s="25"/>
      <c r="J124" s="26"/>
      <c r="K124" s="27"/>
      <c r="L124" s="28"/>
      <c r="M124" s="27"/>
      <c r="N124" s="26"/>
      <c r="O124" s="121">
        <f t="shared" si="3"/>
        <v>0</v>
      </c>
      <c r="P124" s="122"/>
      <c r="Q124" s="276"/>
    </row>
    <row r="125" spans="1:17" s="29" customFormat="1" ht="12.75">
      <c r="A125" s="23" t="s">
        <v>184</v>
      </c>
      <c r="B125" s="265" t="s">
        <v>185</v>
      </c>
      <c r="C125" s="18">
        <f>Jun20!O127</f>
        <v>0</v>
      </c>
      <c r="D125" s="22">
        <f>Jun20!P127</f>
        <v>0</v>
      </c>
      <c r="E125" s="326"/>
      <c r="F125" s="25"/>
      <c r="G125" s="27"/>
      <c r="H125" s="28"/>
      <c r="I125" s="25"/>
      <c r="J125" s="26"/>
      <c r="K125" s="27"/>
      <c r="L125" s="28"/>
      <c r="M125" s="27"/>
      <c r="N125" s="26"/>
      <c r="O125" s="121">
        <f t="shared" si="3"/>
        <v>0</v>
      </c>
      <c r="P125" s="122"/>
      <c r="Q125" s="276"/>
    </row>
    <row r="126" spans="1:17" s="29" customFormat="1" ht="12.75">
      <c r="A126" s="23" t="s">
        <v>186</v>
      </c>
      <c r="B126" s="265" t="s">
        <v>204</v>
      </c>
      <c r="C126" s="18">
        <f>Jun20!O128</f>
        <v>0</v>
      </c>
      <c r="D126" s="22">
        <f>Jun20!P128</f>
        <v>0</v>
      </c>
      <c r="E126" s="326"/>
      <c r="F126" s="25"/>
      <c r="G126" s="27"/>
      <c r="H126" s="28"/>
      <c r="I126" s="25"/>
      <c r="J126" s="26"/>
      <c r="K126" s="27"/>
      <c r="L126" s="28"/>
      <c r="M126" s="27"/>
      <c r="N126" s="26"/>
      <c r="O126" s="121">
        <f t="shared" si="3"/>
        <v>0</v>
      </c>
      <c r="P126" s="122"/>
      <c r="Q126" s="276"/>
    </row>
    <row r="127" spans="1:17" s="29" customFormat="1" ht="12.75">
      <c r="A127" s="23" t="s">
        <v>219</v>
      </c>
      <c r="B127" s="265" t="s">
        <v>205</v>
      </c>
      <c r="C127" s="18">
        <f>Jun20!O129</f>
        <v>65407</v>
      </c>
      <c r="D127" s="22">
        <f>Jun20!P129</f>
        <v>0</v>
      </c>
      <c r="E127" s="326"/>
      <c r="F127" s="25"/>
      <c r="G127" s="27"/>
      <c r="H127" s="28"/>
      <c r="I127" s="25"/>
      <c r="J127" s="26"/>
      <c r="K127" s="27"/>
      <c r="L127" s="28"/>
      <c r="M127" s="27"/>
      <c r="N127" s="26">
        <v>65407</v>
      </c>
      <c r="O127" s="121">
        <f t="shared" si="3"/>
        <v>0</v>
      </c>
      <c r="P127" s="122"/>
      <c r="Q127" s="276"/>
    </row>
    <row r="128" spans="1:17" s="29" customFormat="1" ht="12.75">
      <c r="A128" s="23" t="s">
        <v>220</v>
      </c>
      <c r="B128" s="265" t="s">
        <v>206</v>
      </c>
      <c r="C128" s="18">
        <f>Jun20!O130</f>
        <v>55510</v>
      </c>
      <c r="D128" s="22">
        <f>Jun20!P130</f>
        <v>0</v>
      </c>
      <c r="E128" s="326"/>
      <c r="F128" s="25"/>
      <c r="G128" s="27"/>
      <c r="H128" s="28"/>
      <c r="I128" s="25"/>
      <c r="J128" s="26"/>
      <c r="K128" s="27"/>
      <c r="L128" s="28"/>
      <c r="M128" s="27"/>
      <c r="N128" s="26">
        <v>55510</v>
      </c>
      <c r="O128" s="121">
        <f t="shared" si="3"/>
        <v>0</v>
      </c>
      <c r="P128" s="122"/>
      <c r="Q128" s="276"/>
    </row>
    <row r="129" spans="1:17" s="29" customFormat="1" ht="12.75">
      <c r="A129" s="23" t="s">
        <v>584</v>
      </c>
      <c r="B129" s="265" t="s">
        <v>585</v>
      </c>
      <c r="C129" s="18">
        <f>Jun20!O131</f>
        <v>0</v>
      </c>
      <c r="D129" s="22">
        <f>Jun20!P131</f>
        <v>0</v>
      </c>
      <c r="E129" s="326"/>
      <c r="F129" s="25"/>
      <c r="G129" s="27"/>
      <c r="H129" s="28"/>
      <c r="I129" s="25"/>
      <c r="J129" s="26"/>
      <c r="K129" s="27"/>
      <c r="L129" s="28"/>
      <c r="M129" s="27"/>
      <c r="N129" s="26"/>
      <c r="O129" s="121">
        <f t="shared" si="3"/>
        <v>0</v>
      </c>
      <c r="P129" s="122"/>
      <c r="Q129" s="276"/>
    </row>
    <row r="130" spans="1:17" s="29" customFormat="1" ht="12.75">
      <c r="A130" s="23" t="s">
        <v>188</v>
      </c>
      <c r="B130" s="265" t="s">
        <v>189</v>
      </c>
      <c r="C130" s="18">
        <f>Jun20!O132</f>
        <v>0</v>
      </c>
      <c r="D130" s="22">
        <f>Jun20!P132</f>
        <v>0</v>
      </c>
      <c r="E130" s="326"/>
      <c r="F130" s="25"/>
      <c r="G130" s="27"/>
      <c r="H130" s="28"/>
      <c r="I130" s="25"/>
      <c r="J130" s="26"/>
      <c r="K130" s="27"/>
      <c r="L130" s="28"/>
      <c r="M130" s="27"/>
      <c r="N130" s="26"/>
      <c r="O130" s="121">
        <f t="shared" si="3"/>
        <v>0</v>
      </c>
      <c r="P130" s="122"/>
      <c r="Q130" s="276"/>
    </row>
    <row r="131" spans="1:17" s="29" customFormat="1" ht="12.75">
      <c r="A131" s="23" t="s">
        <v>229</v>
      </c>
      <c r="B131" s="265" t="s">
        <v>227</v>
      </c>
      <c r="C131" s="18">
        <f>Jun20!O133</f>
        <v>54640</v>
      </c>
      <c r="D131" s="22">
        <f>Jun20!P133</f>
        <v>0</v>
      </c>
      <c r="E131" s="326"/>
      <c r="F131" s="25"/>
      <c r="G131" s="27"/>
      <c r="H131" s="28"/>
      <c r="I131" s="25"/>
      <c r="J131" s="26"/>
      <c r="K131" s="27"/>
      <c r="L131" s="28"/>
      <c r="M131" s="27"/>
      <c r="N131" s="26">
        <v>38140</v>
      </c>
      <c r="O131" s="121">
        <f t="shared" si="3"/>
        <v>16500</v>
      </c>
      <c r="P131" s="122"/>
      <c r="Q131" s="276"/>
    </row>
    <row r="132" spans="1:17" s="29" customFormat="1" ht="12.75">
      <c r="A132" s="23" t="s">
        <v>64</v>
      </c>
      <c r="B132" s="265" t="s">
        <v>187</v>
      </c>
      <c r="C132" s="18">
        <f>Jun20!O134</f>
        <v>0</v>
      </c>
      <c r="D132" s="22">
        <f>Jun20!P134</f>
        <v>0</v>
      </c>
      <c r="E132" s="326"/>
      <c r="F132" s="25"/>
      <c r="G132" s="27"/>
      <c r="H132" s="28"/>
      <c r="I132" s="25"/>
      <c r="J132" s="26"/>
      <c r="K132" s="27"/>
      <c r="L132" s="28"/>
      <c r="M132" s="27"/>
      <c r="N132" s="26"/>
      <c r="O132" s="121">
        <f t="shared" si="3"/>
        <v>0</v>
      </c>
      <c r="P132" s="122"/>
      <c r="Q132" s="276"/>
    </row>
    <row r="133" spans="1:17" s="29" customFormat="1" ht="12.75">
      <c r="A133" s="23" t="s">
        <v>587</v>
      </c>
      <c r="B133" s="265" t="s">
        <v>586</v>
      </c>
      <c r="C133" s="18">
        <f>Jun20!O135</f>
        <v>0</v>
      </c>
      <c r="D133" s="22">
        <f>Jun20!P135</f>
        <v>0</v>
      </c>
      <c r="E133" s="326"/>
      <c r="F133" s="25"/>
      <c r="G133" s="27"/>
      <c r="H133" s="28"/>
      <c r="I133" s="25"/>
      <c r="J133" s="26"/>
      <c r="K133" s="27"/>
      <c r="L133" s="28"/>
      <c r="M133" s="27"/>
      <c r="N133" s="26"/>
      <c r="O133" s="121">
        <f t="shared" si="3"/>
        <v>0</v>
      </c>
      <c r="P133" s="122"/>
      <c r="Q133" s="276"/>
    </row>
    <row r="134" spans="1:17" s="29" customFormat="1" ht="12.75">
      <c r="A134" s="23" t="s">
        <v>233</v>
      </c>
      <c r="B134" s="265" t="s">
        <v>232</v>
      </c>
      <c r="C134" s="18">
        <f>Jun20!O136</f>
        <v>66359521.61999999</v>
      </c>
      <c r="D134" s="22">
        <f>Jun20!P136</f>
        <v>0</v>
      </c>
      <c r="E134" s="326"/>
      <c r="F134" s="25"/>
      <c r="G134" s="27"/>
      <c r="H134" s="28"/>
      <c r="I134" s="25"/>
      <c r="J134" s="26"/>
      <c r="K134" s="27"/>
      <c r="L134" s="28"/>
      <c r="M134" s="27"/>
      <c r="N134" s="26">
        <v>66216615.56</v>
      </c>
      <c r="O134" s="121">
        <f t="shared" si="3"/>
        <v>142906.05999998748</v>
      </c>
      <c r="P134" s="122"/>
      <c r="Q134" s="276"/>
    </row>
    <row r="135" spans="1:17" s="29" customFormat="1" ht="12.75">
      <c r="A135" s="23" t="s">
        <v>69</v>
      </c>
      <c r="B135" s="265" t="s">
        <v>191</v>
      </c>
      <c r="C135" s="18">
        <f>Jun20!O137</f>
        <v>0</v>
      </c>
      <c r="D135" s="22">
        <f>Jun20!P137</f>
        <v>0</v>
      </c>
      <c r="E135" s="326"/>
      <c r="F135" s="25"/>
      <c r="G135" s="27"/>
      <c r="H135" s="28"/>
      <c r="I135" s="25"/>
      <c r="J135" s="26"/>
      <c r="K135" s="27"/>
      <c r="L135" s="28"/>
      <c r="M135" s="27"/>
      <c r="N135" s="26"/>
      <c r="O135" s="121">
        <f t="shared" si="3"/>
        <v>0</v>
      </c>
      <c r="P135" s="122"/>
      <c r="Q135" s="276"/>
    </row>
    <row r="136" spans="1:17" s="29" customFormat="1" ht="12.75">
      <c r="A136" s="23" t="s">
        <v>211</v>
      </c>
      <c r="B136" s="265" t="s">
        <v>212</v>
      </c>
      <c r="C136" s="18">
        <f>Jun20!O138</f>
        <v>0</v>
      </c>
      <c r="D136" s="22">
        <f>Jun20!P138</f>
        <v>0</v>
      </c>
      <c r="E136" s="326"/>
      <c r="F136" s="25"/>
      <c r="G136" s="27"/>
      <c r="H136" s="28"/>
      <c r="I136" s="25"/>
      <c r="J136" s="26"/>
      <c r="K136" s="27"/>
      <c r="L136" s="28"/>
      <c r="M136" s="27"/>
      <c r="N136" s="26"/>
      <c r="O136" s="121">
        <f t="shared" si="3"/>
        <v>0</v>
      </c>
      <c r="P136" s="122"/>
      <c r="Q136" s="276"/>
    </row>
    <row r="137" spans="1:17" s="29" customFormat="1" ht="12.75">
      <c r="A137" s="23" t="s">
        <v>540</v>
      </c>
      <c r="B137" s="265" t="s">
        <v>523</v>
      </c>
      <c r="C137" s="18">
        <f>Jun20!O139</f>
        <v>0</v>
      </c>
      <c r="D137" s="22">
        <f>Jun20!P139</f>
        <v>0</v>
      </c>
      <c r="E137" s="326"/>
      <c r="F137" s="25"/>
      <c r="G137" s="27"/>
      <c r="H137" s="28"/>
      <c r="I137" s="25"/>
      <c r="J137" s="26"/>
      <c r="K137" s="27"/>
      <c r="L137" s="28"/>
      <c r="M137" s="27"/>
      <c r="N137" s="26"/>
      <c r="O137" s="121">
        <f t="shared" si="3"/>
        <v>0</v>
      </c>
      <c r="P137" s="122"/>
      <c r="Q137" s="276"/>
    </row>
    <row r="138" spans="1:17" s="29" customFormat="1" ht="12.75">
      <c r="A138" s="23" t="s">
        <v>73</v>
      </c>
      <c r="B138" s="265" t="s">
        <v>192</v>
      </c>
      <c r="C138" s="18">
        <f>Jun20!O140</f>
        <v>104112.1</v>
      </c>
      <c r="D138" s="22">
        <f>Jun20!P140</f>
        <v>0</v>
      </c>
      <c r="E138" s="326"/>
      <c r="F138" s="25"/>
      <c r="G138" s="27"/>
      <c r="H138" s="28"/>
      <c r="I138" s="25"/>
      <c r="J138" s="26"/>
      <c r="K138" s="27"/>
      <c r="L138" s="28"/>
      <c r="M138" s="27"/>
      <c r="N138" s="26">
        <v>101052.1</v>
      </c>
      <c r="O138" s="121">
        <f t="shared" si="3"/>
        <v>3060</v>
      </c>
      <c r="P138" s="122"/>
      <c r="Q138" s="276"/>
    </row>
    <row r="139" spans="1:17" s="29" customFormat="1" ht="12.75">
      <c r="A139" s="23" t="s">
        <v>38</v>
      </c>
      <c r="B139" s="265" t="s">
        <v>175</v>
      </c>
      <c r="C139" s="18">
        <f>Jun20!O141</f>
        <v>0</v>
      </c>
      <c r="D139" s="22">
        <f>Jun20!P141</f>
        <v>0</v>
      </c>
      <c r="E139" s="326"/>
      <c r="F139" s="25"/>
      <c r="G139" s="326"/>
      <c r="H139" s="62"/>
      <c r="I139" s="25"/>
      <c r="J139" s="26"/>
      <c r="K139" s="27"/>
      <c r="L139" s="28"/>
      <c r="M139" s="27"/>
      <c r="N139" s="26"/>
      <c r="O139" s="121">
        <f t="shared" si="3"/>
        <v>0</v>
      </c>
      <c r="P139" s="122"/>
      <c r="Q139" s="276"/>
    </row>
    <row r="140" spans="1:17" s="29" customFormat="1" ht="12.75">
      <c r="A140" s="23" t="s">
        <v>62</v>
      </c>
      <c r="B140" s="265" t="s">
        <v>176</v>
      </c>
      <c r="C140" s="18">
        <f>Jun20!O142</f>
        <v>0</v>
      </c>
      <c r="D140" s="22">
        <f>Jun20!P142</f>
        <v>0</v>
      </c>
      <c r="E140" s="326"/>
      <c r="F140" s="25"/>
      <c r="G140" s="326"/>
      <c r="H140" s="62"/>
      <c r="I140" s="326"/>
      <c r="J140" s="25"/>
      <c r="K140" s="326"/>
      <c r="L140" s="62"/>
      <c r="M140" s="326"/>
      <c r="N140" s="25"/>
      <c r="O140" s="121">
        <f t="shared" si="3"/>
        <v>0</v>
      </c>
      <c r="P140" s="122"/>
      <c r="Q140" s="480"/>
    </row>
    <row r="141" spans="1:17" s="29" customFormat="1" ht="12.75">
      <c r="A141" s="23" t="s">
        <v>63</v>
      </c>
      <c r="B141" s="265" t="s">
        <v>177</v>
      </c>
      <c r="C141" s="18">
        <f>Jun20!O143</f>
        <v>1460</v>
      </c>
      <c r="D141" s="22">
        <f>Jun20!P143</f>
        <v>0</v>
      </c>
      <c r="E141" s="326"/>
      <c r="F141" s="25"/>
      <c r="G141" s="326"/>
      <c r="H141" s="62"/>
      <c r="I141" s="326"/>
      <c r="J141" s="25"/>
      <c r="K141" s="326"/>
      <c r="L141" s="62"/>
      <c r="M141" s="326"/>
      <c r="N141" s="25">
        <v>1460</v>
      </c>
      <c r="O141" s="121">
        <f t="shared" si="3"/>
        <v>0</v>
      </c>
      <c r="P141" s="122"/>
      <c r="Q141" s="480"/>
    </row>
    <row r="142" spans="1:17" s="29" customFormat="1" ht="12.75">
      <c r="A142" s="23" t="s">
        <v>560</v>
      </c>
      <c r="B142" s="265" t="s">
        <v>561</v>
      </c>
      <c r="C142" s="18">
        <f>Jun20!O144</f>
        <v>0</v>
      </c>
      <c r="D142" s="22">
        <f>Jun20!P144</f>
        <v>0</v>
      </c>
      <c r="E142" s="326"/>
      <c r="F142" s="25"/>
      <c r="G142" s="326"/>
      <c r="H142" s="62"/>
      <c r="I142" s="326"/>
      <c r="J142" s="25"/>
      <c r="K142" s="326"/>
      <c r="L142" s="62"/>
      <c r="M142" s="326"/>
      <c r="N142" s="25"/>
      <c r="O142" s="121">
        <f t="shared" si="3"/>
        <v>0</v>
      </c>
      <c r="P142" s="122"/>
      <c r="Q142" s="480"/>
    </row>
    <row r="143" spans="1:17" s="29" customFormat="1" ht="12.75">
      <c r="A143" s="23" t="s">
        <v>53</v>
      </c>
      <c r="B143" s="265" t="s">
        <v>528</v>
      </c>
      <c r="C143" s="18">
        <f>Jun20!O145</f>
        <v>461176.47</v>
      </c>
      <c r="D143" s="22">
        <f>Jun20!P145</f>
        <v>0</v>
      </c>
      <c r="E143" s="326"/>
      <c r="F143" s="25"/>
      <c r="G143" s="326"/>
      <c r="H143" s="62"/>
      <c r="I143" s="326"/>
      <c r="J143" s="25"/>
      <c r="K143" s="326"/>
      <c r="L143" s="62"/>
      <c r="M143" s="326"/>
      <c r="N143" s="25">
        <v>461176.47</v>
      </c>
      <c r="O143" s="121">
        <f t="shared" si="3"/>
        <v>0</v>
      </c>
      <c r="P143" s="122"/>
      <c r="Q143" s="480"/>
    </row>
    <row r="144" spans="1:17" s="29" customFormat="1" ht="12.75">
      <c r="A144" s="23" t="s">
        <v>701</v>
      </c>
      <c r="B144" s="265" t="s">
        <v>702</v>
      </c>
      <c r="C144" s="18">
        <f>Jun20!O146</f>
        <v>0</v>
      </c>
      <c r="D144" s="22">
        <f>Jun20!P146</f>
        <v>0</v>
      </c>
      <c r="E144" s="326"/>
      <c r="F144" s="25"/>
      <c r="G144" s="326"/>
      <c r="H144" s="62"/>
      <c r="I144" s="326"/>
      <c r="J144" s="25"/>
      <c r="K144" s="326"/>
      <c r="L144" s="62"/>
      <c r="M144" s="326"/>
      <c r="N144" s="25"/>
      <c r="O144" s="121">
        <f t="shared" si="3"/>
        <v>0</v>
      </c>
      <c r="P144" s="122"/>
      <c r="Q144" s="480"/>
    </row>
    <row r="145" spans="1:17" s="29" customFormat="1" ht="12.75">
      <c r="A145" s="23" t="s">
        <v>68</v>
      </c>
      <c r="B145" s="265" t="s">
        <v>174</v>
      </c>
      <c r="C145" s="18">
        <f>Jun20!O147</f>
        <v>0</v>
      </c>
      <c r="D145" s="22">
        <f>Jun20!P147</f>
        <v>0</v>
      </c>
      <c r="E145" s="326"/>
      <c r="F145" s="25"/>
      <c r="G145" s="326"/>
      <c r="H145" s="62"/>
      <c r="I145" s="326"/>
      <c r="J145" s="25"/>
      <c r="K145" s="326"/>
      <c r="L145" s="62"/>
      <c r="M145" s="326"/>
      <c r="N145" s="25"/>
      <c r="O145" s="121">
        <f t="shared" si="3"/>
        <v>0</v>
      </c>
      <c r="P145" s="122"/>
      <c r="Q145" s="480"/>
    </row>
    <row r="146" spans="1:17" s="29" customFormat="1" ht="12.75">
      <c r="A146" s="23" t="s">
        <v>244</v>
      </c>
      <c r="B146" s="265" t="s">
        <v>237</v>
      </c>
      <c r="C146" s="18">
        <f>Jun20!O148</f>
        <v>0</v>
      </c>
      <c r="D146" s="22">
        <f>Jun20!P148</f>
        <v>0</v>
      </c>
      <c r="E146" s="326"/>
      <c r="F146" s="25"/>
      <c r="G146" s="326"/>
      <c r="H146" s="62"/>
      <c r="I146" s="326"/>
      <c r="J146" s="25"/>
      <c r="K146" s="326"/>
      <c r="L146" s="62"/>
      <c r="M146" s="326"/>
      <c r="N146" s="25"/>
      <c r="O146" s="121">
        <f t="shared" si="3"/>
        <v>0</v>
      </c>
      <c r="P146" s="122"/>
      <c r="Q146" s="480"/>
    </row>
    <row r="147" spans="1:17" s="29" customFormat="1" ht="12.75">
      <c r="A147" s="23" t="s">
        <v>23</v>
      </c>
      <c r="B147" s="265" t="s">
        <v>524</v>
      </c>
      <c r="C147" s="18">
        <f>Jun20!O149</f>
        <v>460371.45</v>
      </c>
      <c r="D147" s="22">
        <f>Jun20!P149</f>
        <v>0</v>
      </c>
      <c r="E147" s="326"/>
      <c r="F147" s="25"/>
      <c r="G147" s="326"/>
      <c r="H147" s="62"/>
      <c r="I147" s="326"/>
      <c r="J147" s="25"/>
      <c r="K147" s="326"/>
      <c r="L147" s="62"/>
      <c r="M147" s="326"/>
      <c r="N147" s="25">
        <v>754444.91</v>
      </c>
      <c r="O147" s="121">
        <f t="shared" si="3"/>
        <v>-294073.46</v>
      </c>
      <c r="P147" s="122"/>
      <c r="Q147" s="480"/>
    </row>
    <row r="148" spans="1:17" s="29" customFormat="1" ht="12.75">
      <c r="A148" s="23" t="s">
        <v>245</v>
      </c>
      <c r="B148" s="265" t="s">
        <v>525</v>
      </c>
      <c r="C148" s="18">
        <f>Jun20!O150</f>
        <v>0</v>
      </c>
      <c r="D148" s="22">
        <f>Jun20!P150</f>
        <v>0</v>
      </c>
      <c r="E148" s="326"/>
      <c r="F148" s="25"/>
      <c r="G148" s="326"/>
      <c r="H148" s="62"/>
      <c r="I148" s="326"/>
      <c r="J148" s="25"/>
      <c r="K148" s="326"/>
      <c r="L148" s="62"/>
      <c r="M148" s="326"/>
      <c r="N148" s="25"/>
      <c r="O148" s="121">
        <f aca="true" t="shared" si="4" ref="O148:O155">C148+E148+I148+M148-D148-F148-J148-N148+G148-H148+K148-L148</f>
        <v>0</v>
      </c>
      <c r="P148" s="122"/>
      <c r="Q148" s="480"/>
    </row>
    <row r="149" spans="1:17" s="29" customFormat="1" ht="12.75">
      <c r="A149" s="8" t="s">
        <v>214</v>
      </c>
      <c r="B149" s="265" t="s">
        <v>574</v>
      </c>
      <c r="C149" s="18">
        <f>Jun20!O151</f>
        <v>0</v>
      </c>
      <c r="D149" s="22">
        <f>Jun20!P151</f>
        <v>0</v>
      </c>
      <c r="E149" s="326"/>
      <c r="F149" s="25"/>
      <c r="G149" s="326"/>
      <c r="H149" s="62"/>
      <c r="I149" s="326"/>
      <c r="J149" s="25"/>
      <c r="K149" s="326"/>
      <c r="L149" s="62"/>
      <c r="M149" s="326"/>
      <c r="N149" s="25"/>
      <c r="O149" s="121">
        <f t="shared" si="4"/>
        <v>0</v>
      </c>
      <c r="P149" s="122"/>
      <c r="Q149" s="480"/>
    </row>
    <row r="150" spans="1:17" s="29" customFormat="1" ht="12.75">
      <c r="A150" s="8" t="s">
        <v>77</v>
      </c>
      <c r="B150" s="265" t="s">
        <v>575</v>
      </c>
      <c r="C150" s="18">
        <f>Jun20!O152</f>
        <v>0</v>
      </c>
      <c r="D150" s="22">
        <f>Jun20!P152</f>
        <v>0</v>
      </c>
      <c r="E150" s="326"/>
      <c r="F150" s="25"/>
      <c r="G150" s="326"/>
      <c r="H150" s="62"/>
      <c r="I150" s="326"/>
      <c r="J150" s="25"/>
      <c r="K150" s="326"/>
      <c r="L150" s="62"/>
      <c r="M150" s="326"/>
      <c r="N150" s="25"/>
      <c r="O150" s="121">
        <f t="shared" si="4"/>
        <v>0</v>
      </c>
      <c r="P150" s="122"/>
      <c r="Q150" s="480"/>
    </row>
    <row r="151" spans="1:17" s="29" customFormat="1" ht="12.75">
      <c r="A151" s="8" t="s">
        <v>78</v>
      </c>
      <c r="B151" s="265" t="s">
        <v>576</v>
      </c>
      <c r="C151" s="18">
        <f>Jun20!O153</f>
        <v>0</v>
      </c>
      <c r="D151" s="22">
        <f>Jun20!P153</f>
        <v>0</v>
      </c>
      <c r="E151" s="326"/>
      <c r="F151" s="25"/>
      <c r="G151" s="326"/>
      <c r="H151" s="62"/>
      <c r="I151" s="326"/>
      <c r="J151" s="25"/>
      <c r="K151" s="326"/>
      <c r="L151" s="62"/>
      <c r="M151" s="326"/>
      <c r="N151" s="25"/>
      <c r="O151" s="121">
        <f t="shared" si="4"/>
        <v>0</v>
      </c>
      <c r="P151" s="122"/>
      <c r="Q151" s="480"/>
    </row>
    <row r="152" spans="1:17" s="29" customFormat="1" ht="12.75">
      <c r="A152" s="8" t="s">
        <v>79</v>
      </c>
      <c r="B152" s="265" t="s">
        <v>577</v>
      </c>
      <c r="C152" s="18">
        <f>Jun20!O154</f>
        <v>0</v>
      </c>
      <c r="D152" s="22">
        <f>Jun20!P154</f>
        <v>0</v>
      </c>
      <c r="E152" s="326"/>
      <c r="F152" s="25"/>
      <c r="G152" s="326"/>
      <c r="H152" s="62"/>
      <c r="I152" s="326"/>
      <c r="J152" s="25"/>
      <c r="K152" s="326"/>
      <c r="L152" s="62"/>
      <c r="M152" s="326"/>
      <c r="N152" s="25"/>
      <c r="O152" s="121">
        <f t="shared" si="4"/>
        <v>0</v>
      </c>
      <c r="P152" s="122"/>
      <c r="Q152" s="480"/>
    </row>
    <row r="153" spans="1:17" s="29" customFormat="1" ht="12.75">
      <c r="A153" s="8" t="s">
        <v>578</v>
      </c>
      <c r="B153" s="265" t="s">
        <v>579</v>
      </c>
      <c r="C153" s="18">
        <f>Jun20!O155</f>
        <v>0</v>
      </c>
      <c r="D153" s="22">
        <f>Jun20!P155</f>
        <v>0</v>
      </c>
      <c r="E153" s="326"/>
      <c r="F153" s="25"/>
      <c r="G153" s="326"/>
      <c r="H153" s="62"/>
      <c r="I153" s="326"/>
      <c r="J153" s="25"/>
      <c r="K153" s="326"/>
      <c r="L153" s="62"/>
      <c r="M153" s="326"/>
      <c r="N153" s="25"/>
      <c r="O153" s="121">
        <f t="shared" si="4"/>
        <v>0</v>
      </c>
      <c r="P153" s="122"/>
      <c r="Q153" s="480"/>
    </row>
    <row r="154" spans="1:17" s="29" customFormat="1" ht="12.75">
      <c r="A154" s="8" t="s">
        <v>580</v>
      </c>
      <c r="B154" s="265" t="s">
        <v>581</v>
      </c>
      <c r="C154" s="18">
        <f>Jun20!O156</f>
        <v>0</v>
      </c>
      <c r="D154" s="22">
        <f>Jun20!P156</f>
        <v>0</v>
      </c>
      <c r="E154" s="326"/>
      <c r="F154" s="25"/>
      <c r="G154" s="326"/>
      <c r="H154" s="62"/>
      <c r="I154" s="326"/>
      <c r="J154" s="25"/>
      <c r="K154" s="326"/>
      <c r="L154" s="62"/>
      <c r="M154" s="326"/>
      <c r="N154" s="25"/>
      <c r="O154" s="121">
        <f t="shared" si="4"/>
        <v>0</v>
      </c>
      <c r="P154" s="122"/>
      <c r="Q154" s="480"/>
    </row>
    <row r="155" spans="1:16" s="29" customFormat="1" ht="13.5" thickBot="1">
      <c r="A155" s="8" t="s">
        <v>82</v>
      </c>
      <c r="B155" s="265" t="s">
        <v>582</v>
      </c>
      <c r="C155" s="18">
        <f>Jun20!O157</f>
        <v>0</v>
      </c>
      <c r="D155" s="22">
        <f>Jun20!P157</f>
        <v>0</v>
      </c>
      <c r="E155" s="338"/>
      <c r="F155" s="25"/>
      <c r="G155" s="61"/>
      <c r="H155" s="62"/>
      <c r="I155" s="63"/>
      <c r="J155" s="25"/>
      <c r="K155" s="61"/>
      <c r="L155" s="62"/>
      <c r="M155" s="61"/>
      <c r="N155" s="25"/>
      <c r="O155" s="121">
        <f t="shared" si="4"/>
        <v>0</v>
      </c>
      <c r="P155" s="122"/>
    </row>
    <row r="156" spans="1:16" s="29" customFormat="1" ht="13.5" thickBot="1">
      <c r="A156" s="123" t="s">
        <v>24</v>
      </c>
      <c r="B156" s="124"/>
      <c r="C156" s="125">
        <f>SUM(C14:C155)</f>
        <v>181121505.96999997</v>
      </c>
      <c r="D156" s="126">
        <f>SUM(D14:D155)</f>
        <v>181121505.97</v>
      </c>
      <c r="E156" s="487">
        <f aca="true" t="shared" si="5" ref="E156:L156">SUM(E14:E139)</f>
        <v>0</v>
      </c>
      <c r="F156" s="126">
        <f t="shared" si="5"/>
        <v>0</v>
      </c>
      <c r="G156" s="125">
        <f t="shared" si="5"/>
        <v>0</v>
      </c>
      <c r="H156" s="126">
        <f t="shared" si="5"/>
        <v>0</v>
      </c>
      <c r="I156" s="125">
        <f t="shared" si="5"/>
        <v>0</v>
      </c>
      <c r="J156" s="126">
        <f t="shared" si="5"/>
        <v>0</v>
      </c>
      <c r="K156" s="125">
        <f t="shared" si="5"/>
        <v>0</v>
      </c>
      <c r="L156" s="126">
        <f t="shared" si="5"/>
        <v>0</v>
      </c>
      <c r="M156" s="125">
        <f>SUM(M14:M155)</f>
        <v>252764240.26</v>
      </c>
      <c r="N156" s="127">
        <f>SUM(N14:N155)</f>
        <v>252764240.26</v>
      </c>
      <c r="O156" s="128">
        <f>SUM(O14:O155)</f>
        <v>98969721.86999999</v>
      </c>
      <c r="P156" s="129">
        <f>SUM(P29:P155)</f>
        <v>98969721.87</v>
      </c>
    </row>
    <row r="157" spans="1:16" s="29" customFormat="1" ht="12.75">
      <c r="A157" s="30"/>
      <c r="B157" s="30"/>
      <c r="C157" s="30"/>
      <c r="D157" s="31">
        <f>C156-D156</f>
        <v>0</v>
      </c>
      <c r="E157" s="30"/>
      <c r="F157" s="31">
        <f>E156-F156</f>
        <v>0</v>
      </c>
      <c r="G157" s="30"/>
      <c r="H157" s="31">
        <f>G156-H156</f>
        <v>0</v>
      </c>
      <c r="I157" s="30"/>
      <c r="J157" s="31">
        <f>I156-J156</f>
        <v>0</v>
      </c>
      <c r="K157" s="30"/>
      <c r="L157" s="31">
        <f>K156-L156</f>
        <v>0</v>
      </c>
      <c r="M157" s="30"/>
      <c r="N157" s="31">
        <f>M156-N156</f>
        <v>0</v>
      </c>
      <c r="O157" s="30"/>
      <c r="P157" s="31">
        <f>O156-P156</f>
        <v>0</v>
      </c>
    </row>
    <row r="158" spans="1:16" s="29" customFormat="1" ht="12.75">
      <c r="A158" s="30"/>
      <c r="B158" s="30"/>
      <c r="C158" s="30"/>
      <c r="D158" s="31"/>
      <c r="E158" s="30"/>
      <c r="F158" s="31"/>
      <c r="G158" s="30"/>
      <c r="H158" s="31"/>
      <c r="I158" s="30"/>
      <c r="J158" s="31"/>
      <c r="K158" s="30"/>
      <c r="L158" s="31"/>
      <c r="M158" s="30"/>
      <c r="N158" s="31"/>
      <c r="O158" s="30"/>
      <c r="P158" s="31"/>
    </row>
    <row r="159" spans="1:16" s="29" customFormat="1" ht="12.75">
      <c r="A159" s="16" t="s">
        <v>25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 t="s">
        <v>55</v>
      </c>
      <c r="P159" s="30"/>
    </row>
    <row r="160" spans="1:16" s="29" customFormat="1" ht="12.75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99"/>
      <c r="P160" s="30"/>
    </row>
    <row r="161" spans="1:16" s="29" customFormat="1" ht="12.75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00"/>
      <c r="P161" s="30"/>
    </row>
    <row r="162" spans="1:16" s="29" customFormat="1" ht="12.75">
      <c r="A162" s="17" t="s">
        <v>222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0" t="s">
        <v>223</v>
      </c>
      <c r="P162" s="30"/>
    </row>
    <row r="163" spans="1:16" s="29" customFormat="1" ht="12.75">
      <c r="A163" s="16" t="s">
        <v>210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 t="s">
        <v>224</v>
      </c>
      <c r="P163" s="30"/>
    </row>
  </sheetData>
  <sheetProtection/>
  <mergeCells count="16">
    <mergeCell ref="A2:P2"/>
    <mergeCell ref="A3:P3"/>
    <mergeCell ref="M10:N10"/>
    <mergeCell ref="O10:O11"/>
    <mergeCell ref="P10:P11"/>
    <mergeCell ref="A5:P5"/>
    <mergeCell ref="A6:P6"/>
    <mergeCell ref="A7:P7"/>
    <mergeCell ref="A8:P8"/>
    <mergeCell ref="A9:P9"/>
    <mergeCell ref="A10:A11"/>
    <mergeCell ref="E10:F10"/>
    <mergeCell ref="G10:H10"/>
    <mergeCell ref="I10:J10"/>
    <mergeCell ref="K10:L10"/>
    <mergeCell ref="C10:D10"/>
  </mergeCells>
  <printOptions horizontalCentered="1"/>
  <pageMargins left="0.25" right="0.25" top="0" bottom="0" header="0.3" footer="0.3"/>
  <pageSetup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3"/>
  <sheetViews>
    <sheetView zoomScalePageLayoutView="0" workbookViewId="0" topLeftCell="A95">
      <selection activeCell="A141" sqref="A141:B141"/>
    </sheetView>
  </sheetViews>
  <sheetFormatPr defaultColWidth="9.140625" defaultRowHeight="12.75"/>
  <cols>
    <col min="1" max="1" width="2.421875" style="77" customWidth="1"/>
    <col min="2" max="2" width="50.7109375" style="77" customWidth="1"/>
    <col min="3" max="3" width="14.8515625" style="77" customWidth="1"/>
    <col min="4" max="4" width="1.7109375" style="77" customWidth="1"/>
    <col min="5" max="5" width="14.8515625" style="77" bestFit="1" customWidth="1"/>
    <col min="6" max="6" width="0" style="76" hidden="1" customWidth="1"/>
    <col min="7" max="7" width="12.8515625" style="76" hidden="1" customWidth="1"/>
    <col min="8" max="8" width="0" style="76" hidden="1" customWidth="1"/>
    <col min="9" max="16384" width="9.140625" style="77" customWidth="1"/>
  </cols>
  <sheetData>
    <row r="1" spans="1:5" ht="12.75">
      <c r="A1" s="551" t="s">
        <v>1</v>
      </c>
      <c r="B1" s="551"/>
      <c r="C1" s="551"/>
      <c r="D1" s="551"/>
      <c r="E1" s="551"/>
    </row>
    <row r="2" spans="1:5" ht="12.75">
      <c r="A2" s="551" t="s">
        <v>246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">
        <v>761</v>
      </c>
      <c r="B4" s="552"/>
      <c r="C4" s="552"/>
      <c r="D4" s="552"/>
      <c r="E4" s="552"/>
    </row>
    <row r="5" spans="1:5" ht="12.75">
      <c r="A5" s="1"/>
      <c r="B5" s="1"/>
      <c r="C5" s="1"/>
      <c r="D5" s="1"/>
      <c r="E5" s="1"/>
    </row>
    <row r="6" spans="1:5" ht="12.75">
      <c r="A6" s="20" t="s">
        <v>247</v>
      </c>
      <c r="B6" s="1"/>
      <c r="C6" s="1"/>
      <c r="D6" s="1"/>
      <c r="E6" s="1"/>
    </row>
    <row r="7" spans="1:5" ht="6.75" customHeight="1">
      <c r="A7" s="1"/>
      <c r="B7" s="1"/>
      <c r="C7" s="78"/>
      <c r="D7" s="78"/>
      <c r="E7" s="1"/>
    </row>
    <row r="8" spans="1:5" s="76" customFormat="1" ht="14.25" customHeight="1">
      <c r="A8" s="80" t="s">
        <v>248</v>
      </c>
      <c r="C8" s="146">
        <v>0</v>
      </c>
      <c r="D8" s="79"/>
      <c r="E8" s="95"/>
    </row>
    <row r="9" spans="1:5" ht="14.25" customHeight="1">
      <c r="A9" s="1"/>
      <c r="B9" s="1"/>
      <c r="C9" s="78"/>
      <c r="D9" s="78"/>
      <c r="E9" s="79"/>
    </row>
    <row r="10" spans="1:5" ht="12.75">
      <c r="A10" s="2" t="s">
        <v>249</v>
      </c>
      <c r="B10" s="1"/>
      <c r="C10" s="78"/>
      <c r="D10" s="78"/>
      <c r="E10" s="78"/>
    </row>
    <row r="11" spans="1:5" ht="6.75" customHeight="1">
      <c r="A11" s="2"/>
      <c r="B11" s="3"/>
      <c r="C11" s="79"/>
      <c r="D11" s="78"/>
      <c r="E11" s="78"/>
    </row>
    <row r="12" spans="1:5" ht="12.75" customHeight="1">
      <c r="A12" s="2"/>
      <c r="B12" s="80" t="s">
        <v>250</v>
      </c>
      <c r="C12" s="79"/>
      <c r="D12" s="78"/>
      <c r="E12" s="78"/>
    </row>
    <row r="13" spans="1:5" ht="12.75" customHeight="1">
      <c r="A13" s="2"/>
      <c r="B13" s="131" t="s">
        <v>251</v>
      </c>
      <c r="C13" s="79"/>
      <c r="D13" s="78"/>
      <c r="E13" s="78"/>
    </row>
    <row r="14" spans="1:5" ht="12.75">
      <c r="A14" s="80"/>
      <c r="B14" s="132" t="s">
        <v>143</v>
      </c>
      <c r="C14" s="91">
        <f>'ConvertedTB 2QTR'!C72</f>
        <v>7681315.8100000005</v>
      </c>
      <c r="D14" s="92">
        <v>12553153.57</v>
      </c>
      <c r="E14" s="78"/>
    </row>
    <row r="15" spans="1:5" ht="12.75">
      <c r="A15" s="80"/>
      <c r="B15" s="133" t="s">
        <v>252</v>
      </c>
      <c r="C15" s="134">
        <f>+C14</f>
        <v>7681315.8100000005</v>
      </c>
      <c r="D15" s="92"/>
      <c r="E15" s="78"/>
    </row>
    <row r="16" spans="1:5" ht="12.75">
      <c r="A16" s="80"/>
      <c r="B16" s="132"/>
      <c r="C16" s="92"/>
      <c r="D16" s="92"/>
      <c r="E16" s="78"/>
    </row>
    <row r="17" spans="1:5" ht="12.75">
      <c r="A17" s="80"/>
      <c r="B17" s="131" t="s">
        <v>208</v>
      </c>
      <c r="C17" s="92"/>
      <c r="D17" s="92"/>
      <c r="E17" s="78"/>
    </row>
    <row r="18" spans="1:5" ht="12.75">
      <c r="A18" s="80"/>
      <c r="B18" s="132" t="s">
        <v>20</v>
      </c>
      <c r="C18" s="92">
        <f>'ConvertedTB 2QTR'!C73</f>
        <v>258000</v>
      </c>
      <c r="D18" s="92">
        <v>982077</v>
      </c>
      <c r="E18" s="78"/>
    </row>
    <row r="19" spans="1:5" ht="12.75">
      <c r="A19" s="80"/>
      <c r="B19" s="132" t="s">
        <v>21</v>
      </c>
      <c r="C19" s="92">
        <f>'ConvertedTB 2QTR'!C74</f>
        <v>114000</v>
      </c>
      <c r="D19" s="92">
        <v>488250</v>
      </c>
      <c r="E19" s="78"/>
    </row>
    <row r="20" spans="1:5" ht="12.75">
      <c r="A20" s="80"/>
      <c r="B20" s="132" t="s">
        <v>22</v>
      </c>
      <c r="C20" s="92">
        <f>'ConvertedTB 2QTR'!C75</f>
        <v>114000</v>
      </c>
      <c r="D20" s="92"/>
      <c r="E20" s="78"/>
    </row>
    <row r="21" spans="1:5" ht="12.75">
      <c r="A21" s="80"/>
      <c r="B21" s="132" t="s">
        <v>67</v>
      </c>
      <c r="C21" s="92">
        <f>'ConvertedTB 2QTR'!C76</f>
        <v>408000</v>
      </c>
      <c r="D21" s="92"/>
      <c r="E21" s="78"/>
    </row>
    <row r="22" spans="1:5" ht="12.75" customHeight="1">
      <c r="A22" s="80"/>
      <c r="B22" s="132" t="s">
        <v>149</v>
      </c>
      <c r="C22" s="92"/>
      <c r="D22" s="92"/>
      <c r="E22" s="78"/>
    </row>
    <row r="23" spans="1:5" ht="12.75">
      <c r="A23" s="80"/>
      <c r="B23" s="132" t="s">
        <v>66</v>
      </c>
      <c r="C23" s="92"/>
      <c r="D23" s="92"/>
      <c r="E23" s="78"/>
    </row>
    <row r="24" spans="1:5" ht="12.75">
      <c r="A24" s="80"/>
      <c r="B24" s="132" t="s">
        <v>221</v>
      </c>
      <c r="C24" s="92"/>
      <c r="D24" s="92"/>
      <c r="E24" s="78"/>
    </row>
    <row r="25" spans="1:5" ht="12.75">
      <c r="A25" s="80"/>
      <c r="B25" s="132" t="s">
        <v>76</v>
      </c>
      <c r="C25" s="92">
        <f>'ConvertedTB 2QTR'!C80</f>
        <v>0</v>
      </c>
      <c r="D25" s="92"/>
      <c r="E25" s="78"/>
    </row>
    <row r="26" spans="1:5" ht="12.75">
      <c r="A26" s="80"/>
      <c r="B26" s="132" t="s">
        <v>721</v>
      </c>
      <c r="C26" s="92">
        <f>'ConvertedTB 2QTR'!C84</f>
        <v>193000</v>
      </c>
      <c r="D26" s="92"/>
      <c r="E26" s="78"/>
    </row>
    <row r="27" spans="1:5" ht="12.75">
      <c r="A27" s="80"/>
      <c r="B27" s="132" t="s">
        <v>75</v>
      </c>
      <c r="C27" s="92">
        <f>'ConvertedTB 2QTR'!C71</f>
        <v>0</v>
      </c>
      <c r="D27" s="92"/>
      <c r="E27" s="78"/>
    </row>
    <row r="28" spans="1:5" ht="12.75">
      <c r="A28" s="80"/>
      <c r="B28" s="132" t="s">
        <v>70</v>
      </c>
      <c r="C28" s="91"/>
      <c r="D28" s="92"/>
      <c r="E28" s="78"/>
    </row>
    <row r="29" spans="1:5" ht="12.75">
      <c r="A29" s="80"/>
      <c r="B29" s="133" t="s">
        <v>253</v>
      </c>
      <c r="C29" s="134">
        <f>SUM(C18:C28)</f>
        <v>1087000</v>
      </c>
      <c r="D29" s="92"/>
      <c r="E29" s="78"/>
    </row>
    <row r="30" spans="1:5" ht="12.75">
      <c r="A30" s="80"/>
      <c r="B30" s="29"/>
      <c r="C30" s="92"/>
      <c r="D30" s="92"/>
      <c r="E30" s="78"/>
    </row>
    <row r="31" spans="1:5" ht="12.75">
      <c r="A31" s="80"/>
      <c r="B31" s="131" t="s">
        <v>254</v>
      </c>
      <c r="C31" s="92"/>
      <c r="D31" s="92"/>
      <c r="E31" s="78"/>
    </row>
    <row r="32" spans="1:7" ht="12.75">
      <c r="A32" s="80"/>
      <c r="B32" s="132" t="s">
        <v>255</v>
      </c>
      <c r="C32" s="92">
        <f>'ConvertedTB 2QTR'!C87</f>
        <v>274097.64</v>
      </c>
      <c r="D32" s="92"/>
      <c r="E32" s="78"/>
      <c r="G32" s="81">
        <f>SUM(C14:C32)</f>
        <v>17810729.26</v>
      </c>
    </row>
    <row r="33" spans="1:5" ht="12.75">
      <c r="A33" s="80"/>
      <c r="B33" s="132" t="s">
        <v>34</v>
      </c>
      <c r="C33" s="92">
        <f>'ConvertedTB 2QTR'!C88</f>
        <v>18808.079999999998</v>
      </c>
      <c r="D33" s="92"/>
      <c r="E33" s="78"/>
    </row>
    <row r="34" spans="1:7" ht="12.75">
      <c r="A34" s="80"/>
      <c r="B34" s="132" t="s">
        <v>35</v>
      </c>
      <c r="C34" s="92">
        <f>'ConvertedTB 2QTR'!C89</f>
        <v>91994.23</v>
      </c>
      <c r="D34" s="92"/>
      <c r="E34" s="78"/>
      <c r="G34" s="81"/>
    </row>
    <row r="35" spans="1:5" ht="12.75">
      <c r="A35" s="80"/>
      <c r="B35" s="132" t="s">
        <v>256</v>
      </c>
      <c r="C35" s="91">
        <f>'ConvertedTB 2QTR'!C90</f>
        <v>12000</v>
      </c>
      <c r="D35" s="92"/>
      <c r="E35" s="78"/>
    </row>
    <row r="36" spans="1:5" ht="12.75">
      <c r="A36" s="80"/>
      <c r="B36" s="133" t="s">
        <v>257</v>
      </c>
      <c r="C36" s="134">
        <f>SUM(C32:C35)</f>
        <v>396899.95</v>
      </c>
      <c r="D36" s="92"/>
      <c r="E36" s="78"/>
    </row>
    <row r="37" spans="1:5" ht="12.75">
      <c r="A37" s="80"/>
      <c r="B37" s="29"/>
      <c r="C37" s="92"/>
      <c r="D37" s="92"/>
      <c r="E37" s="78"/>
    </row>
    <row r="38" spans="1:5" ht="12.75">
      <c r="A38" s="80"/>
      <c r="B38" s="131" t="s">
        <v>208</v>
      </c>
      <c r="C38" s="92"/>
      <c r="D38" s="92"/>
      <c r="E38" s="78"/>
    </row>
    <row r="39" spans="1:5" ht="12.75">
      <c r="A39" s="80"/>
      <c r="B39" s="132" t="s">
        <v>722</v>
      </c>
      <c r="C39" s="92">
        <f>'ConvertedTB 2QTR'!C93</f>
        <v>755292</v>
      </c>
      <c r="D39" s="92"/>
      <c r="E39" s="78"/>
    </row>
    <row r="40" spans="1:5" ht="12.75">
      <c r="A40" s="80"/>
      <c r="B40" s="132" t="s">
        <v>98</v>
      </c>
      <c r="C40" s="92"/>
      <c r="D40" s="92"/>
      <c r="E40" s="78"/>
    </row>
    <row r="41" spans="1:5" ht="12.75">
      <c r="A41" s="80"/>
      <c r="B41" s="132" t="s">
        <v>723</v>
      </c>
      <c r="C41" s="92">
        <f>'ConvertedTB 2QTR'!C91</f>
        <v>0</v>
      </c>
      <c r="D41" s="92"/>
      <c r="E41" s="78"/>
    </row>
    <row r="42" spans="1:5" ht="12.75">
      <c r="A42" s="80"/>
      <c r="B42" s="132" t="s">
        <v>208</v>
      </c>
      <c r="C42" s="91">
        <f>'ConvertedTB 2QTR'!C92</f>
        <v>1435033.81</v>
      </c>
      <c r="D42" s="92"/>
      <c r="E42" s="78"/>
    </row>
    <row r="43" spans="1:5" ht="12.75">
      <c r="A43" s="80"/>
      <c r="B43" s="133" t="s">
        <v>258</v>
      </c>
      <c r="C43" s="134">
        <f>+C42+C41+C40+C39</f>
        <v>2190325.81</v>
      </c>
      <c r="D43" s="92"/>
      <c r="E43" s="78"/>
    </row>
    <row r="44" spans="1:5" ht="12.75">
      <c r="A44" s="80"/>
      <c r="B44" s="29"/>
      <c r="C44" s="92"/>
      <c r="D44" s="92"/>
      <c r="E44" s="78"/>
    </row>
    <row r="45" spans="1:5" ht="12.75">
      <c r="A45" s="80"/>
      <c r="B45" s="130" t="s">
        <v>259</v>
      </c>
      <c r="C45" s="137">
        <f>C15+C29+C36+C43</f>
        <v>11355541.57</v>
      </c>
      <c r="D45" s="92"/>
      <c r="E45" s="78"/>
    </row>
    <row r="46" spans="1:5" ht="12.75">
      <c r="A46" s="80"/>
      <c r="B46" s="29"/>
      <c r="C46" s="92"/>
      <c r="D46" s="92"/>
      <c r="E46" s="78"/>
    </row>
    <row r="47" spans="2:5" ht="12.75">
      <c r="B47" s="80" t="s">
        <v>93</v>
      </c>
      <c r="C47" s="92"/>
      <c r="D47" s="92"/>
      <c r="E47" s="78"/>
    </row>
    <row r="48" spans="1:5" ht="12.75">
      <c r="A48" s="80"/>
      <c r="B48" s="131" t="s">
        <v>260</v>
      </c>
      <c r="C48" s="92"/>
      <c r="D48" s="92"/>
      <c r="E48" s="78"/>
    </row>
    <row r="49" spans="1:5" ht="12.75">
      <c r="A49" s="80"/>
      <c r="B49" s="132" t="s">
        <v>28</v>
      </c>
      <c r="C49" s="91">
        <f>'ConvertedTB 2QTR'!C94</f>
        <v>544193.6</v>
      </c>
      <c r="D49" s="92"/>
      <c r="E49" s="78"/>
    </row>
    <row r="50" spans="1:5" ht="12.75" hidden="1">
      <c r="A50" s="80"/>
      <c r="B50" s="132" t="s">
        <v>243</v>
      </c>
      <c r="C50" s="91">
        <f>'ConvertedTB 2QTR'!C79</f>
        <v>0</v>
      </c>
      <c r="D50" s="92"/>
      <c r="E50" s="78"/>
    </row>
    <row r="51" spans="1:5" ht="12.75">
      <c r="A51" s="80"/>
      <c r="B51" s="133" t="s">
        <v>261</v>
      </c>
      <c r="C51" s="134">
        <f>SUM(C49:C50)</f>
        <v>544193.6</v>
      </c>
      <c r="D51" s="92"/>
      <c r="E51" s="78"/>
    </row>
    <row r="52" spans="1:5" ht="12.75">
      <c r="A52" s="80"/>
      <c r="B52" s="132"/>
      <c r="C52" s="92"/>
      <c r="D52" s="92"/>
      <c r="E52" s="78"/>
    </row>
    <row r="53" spans="1:5" ht="12.75">
      <c r="A53" s="80"/>
      <c r="B53" s="131" t="s">
        <v>262</v>
      </c>
      <c r="C53" s="92"/>
      <c r="D53" s="92"/>
      <c r="E53" s="78"/>
    </row>
    <row r="54" spans="1:5" ht="12.75">
      <c r="A54" s="80"/>
      <c r="B54" s="132" t="s">
        <v>27</v>
      </c>
      <c r="C54" s="91">
        <f>'ConvertedTB 2QTR'!C96</f>
        <v>3110341.25</v>
      </c>
      <c r="D54" s="92"/>
      <c r="E54" s="78"/>
    </row>
    <row r="55" spans="1:5" ht="12.75" hidden="1">
      <c r="A55" s="80"/>
      <c r="B55" s="132" t="s">
        <v>263</v>
      </c>
      <c r="C55" s="91">
        <v>0</v>
      </c>
      <c r="D55" s="92"/>
      <c r="E55" s="78"/>
    </row>
    <row r="56" spans="1:5" ht="12.75">
      <c r="A56" s="80"/>
      <c r="B56" s="133" t="s">
        <v>264</v>
      </c>
      <c r="C56" s="134">
        <f>SUM(C54:C55)</f>
        <v>3110341.25</v>
      </c>
      <c r="D56" s="92"/>
      <c r="E56" s="78"/>
    </row>
    <row r="57" spans="1:5" ht="12.75">
      <c r="A57" s="80"/>
      <c r="B57" s="132"/>
      <c r="C57" s="92"/>
      <c r="D57" s="92"/>
      <c r="E57" s="78"/>
    </row>
    <row r="58" spans="1:5" ht="12.75">
      <c r="A58" s="80"/>
      <c r="B58" s="131" t="s">
        <v>265</v>
      </c>
      <c r="C58" s="92"/>
      <c r="D58" s="92"/>
      <c r="E58" s="78"/>
    </row>
    <row r="59" spans="1:5" ht="12.75">
      <c r="A59" s="80"/>
      <c r="B59" s="132" t="s">
        <v>216</v>
      </c>
      <c r="C59" s="92">
        <f>'ConvertedTB 2QTR'!N98</f>
        <v>358313.97</v>
      </c>
      <c r="D59" s="92"/>
      <c r="E59" s="78"/>
    </row>
    <row r="60" spans="1:5" ht="12.75">
      <c r="A60" s="80"/>
      <c r="B60" s="132" t="s">
        <v>56</v>
      </c>
      <c r="C60" s="92">
        <f>'ConvertedTB 2QTR'!N99</f>
        <v>1600</v>
      </c>
      <c r="D60" s="92"/>
      <c r="E60" s="78"/>
    </row>
    <row r="61" spans="1:5" ht="12.75">
      <c r="A61" s="80"/>
      <c r="B61" s="132" t="s">
        <v>164</v>
      </c>
      <c r="C61" s="92">
        <f>'ConvertedTB 2QTR'!C101</f>
        <v>31323.26</v>
      </c>
      <c r="D61" s="92"/>
      <c r="E61" s="78"/>
    </row>
    <row r="62" spans="1:5" ht="12.75">
      <c r="A62" s="80"/>
      <c r="B62" s="132" t="s">
        <v>239</v>
      </c>
      <c r="C62" s="92">
        <f>'ConvertedTB 2QTR'!C103</f>
        <v>0</v>
      </c>
      <c r="D62" s="92"/>
      <c r="E62" s="78"/>
    </row>
    <row r="63" spans="1:5" ht="12.75">
      <c r="A63" s="80"/>
      <c r="B63" s="132" t="s">
        <v>706</v>
      </c>
      <c r="C63" s="92">
        <f>'ConvertedTB 2QTR'!C104</f>
        <v>0</v>
      </c>
      <c r="D63" s="92"/>
      <c r="E63" s="78"/>
    </row>
    <row r="64" spans="1:5" ht="12.75">
      <c r="A64" s="80"/>
      <c r="B64" s="132" t="s">
        <v>241</v>
      </c>
      <c r="C64" s="92">
        <f>'ConvertedTB 2QTR'!C107</f>
        <v>0</v>
      </c>
      <c r="D64" s="92"/>
      <c r="E64" s="78"/>
    </row>
    <row r="65" spans="1:5" ht="12.75">
      <c r="A65" s="80"/>
      <c r="B65" s="132" t="s">
        <v>166</v>
      </c>
      <c r="C65" s="91">
        <f>'ConvertedTB 2QTR'!C108</f>
        <v>1779.25</v>
      </c>
      <c r="D65" s="92"/>
      <c r="E65" s="78"/>
    </row>
    <row r="66" spans="1:5" ht="12.75">
      <c r="A66" s="80"/>
      <c r="B66" s="133" t="s">
        <v>266</v>
      </c>
      <c r="C66" s="134">
        <f>SUM(C59:C65)</f>
        <v>393016.48</v>
      </c>
      <c r="D66" s="92"/>
      <c r="E66" s="78"/>
    </row>
    <row r="67" spans="1:5" ht="12.75">
      <c r="A67" s="80"/>
      <c r="B67" s="132"/>
      <c r="C67" s="92"/>
      <c r="D67" s="92"/>
      <c r="E67" s="78"/>
    </row>
    <row r="68" spans="1:5" ht="12.75">
      <c r="A68" s="80"/>
      <c r="B68" s="131" t="s">
        <v>267</v>
      </c>
      <c r="C68" s="92"/>
      <c r="D68" s="92"/>
      <c r="E68" s="78"/>
    </row>
    <row r="69" spans="1:7" ht="12.75">
      <c r="A69" s="80"/>
      <c r="B69" s="132" t="s">
        <v>37</v>
      </c>
      <c r="C69" s="92">
        <f>'ConvertedTB 2QTR'!C109</f>
        <v>5901.799999999999</v>
      </c>
      <c r="D69" s="92"/>
      <c r="E69" s="78"/>
      <c r="G69" s="81"/>
    </row>
    <row r="70" spans="1:7" ht="12.75">
      <c r="A70" s="80"/>
      <c r="B70" s="132" t="s">
        <v>43</v>
      </c>
      <c r="C70" s="92">
        <f>'ConvertedTB 2QTR'!C110</f>
        <v>82117.59</v>
      </c>
      <c r="D70" s="92"/>
      <c r="E70" s="78"/>
      <c r="G70" s="81"/>
    </row>
    <row r="71" spans="1:7" ht="12.75">
      <c r="A71" s="80"/>
      <c r="B71" s="132" t="s">
        <v>709</v>
      </c>
      <c r="C71" s="92">
        <f>'ConvertedTB 2QTR'!C111</f>
        <v>0</v>
      </c>
      <c r="D71" s="92"/>
      <c r="E71" s="78"/>
      <c r="G71" s="81"/>
    </row>
    <row r="72" spans="1:7" ht="12.75">
      <c r="A72" s="80"/>
      <c r="B72" s="133" t="s">
        <v>268</v>
      </c>
      <c r="C72" s="488">
        <f>SUM(C69:C71)</f>
        <v>88019.39</v>
      </c>
      <c r="D72" s="92"/>
      <c r="E72" s="78"/>
      <c r="G72" s="81"/>
    </row>
    <row r="73" spans="1:7" ht="12.75">
      <c r="A73" s="80"/>
      <c r="B73" s="132"/>
      <c r="C73" s="92"/>
      <c r="D73" s="92"/>
      <c r="E73" s="78"/>
      <c r="G73" s="81"/>
    </row>
    <row r="74" spans="1:7" ht="12.75">
      <c r="A74" s="80"/>
      <c r="B74" s="131" t="s">
        <v>269</v>
      </c>
      <c r="C74" s="92"/>
      <c r="D74" s="92"/>
      <c r="E74" s="78"/>
      <c r="G74" s="81"/>
    </row>
    <row r="75" spans="1:7" ht="12.75">
      <c r="A75" s="80"/>
      <c r="B75" s="132" t="s">
        <v>29</v>
      </c>
      <c r="C75" s="92">
        <f>'ConvertedTB 2QTR'!C112</f>
        <v>23612.3</v>
      </c>
      <c r="D75" s="92"/>
      <c r="E75" s="78"/>
      <c r="G75" s="81"/>
    </row>
    <row r="76" spans="1:7" ht="12.75">
      <c r="A76" s="80"/>
      <c r="B76" s="132" t="s">
        <v>195</v>
      </c>
      <c r="C76" s="92"/>
      <c r="D76" s="92"/>
      <c r="E76" s="78"/>
      <c r="G76" s="81"/>
    </row>
    <row r="77" spans="1:5" ht="12.75">
      <c r="A77" s="80"/>
      <c r="B77" s="136" t="s">
        <v>270</v>
      </c>
      <c r="C77" s="92">
        <f>'ConvertedTB 2QTR'!C113</f>
        <v>46453.850000000006</v>
      </c>
      <c r="D77" s="92"/>
      <c r="E77" s="78"/>
    </row>
    <row r="78" spans="1:5" ht="12.75">
      <c r="A78" s="80"/>
      <c r="B78" s="136" t="s">
        <v>271</v>
      </c>
      <c r="C78" s="92">
        <f>'ConvertedTB 2QTR'!C114</f>
        <v>15451.15</v>
      </c>
      <c r="D78" s="92"/>
      <c r="E78" s="78"/>
    </row>
    <row r="79" spans="1:5" ht="12.75" customHeight="1">
      <c r="A79" s="80"/>
      <c r="B79" s="132" t="s">
        <v>171</v>
      </c>
      <c r="C79" s="92">
        <f>'ConvertedTB 2QTR'!C115</f>
        <v>43409.19</v>
      </c>
      <c r="D79" s="92"/>
      <c r="E79" s="78"/>
    </row>
    <row r="80" spans="1:5" ht="12.75">
      <c r="A80" s="80"/>
      <c r="B80" s="132" t="s">
        <v>51</v>
      </c>
      <c r="C80" s="91">
        <f>'ConvertedTB 2QTR'!C116</f>
        <v>300</v>
      </c>
      <c r="D80" s="92"/>
      <c r="E80" s="78"/>
    </row>
    <row r="81" spans="1:5" ht="12.75">
      <c r="A81" s="80"/>
      <c r="B81" s="133" t="s">
        <v>272</v>
      </c>
      <c r="C81" s="134">
        <f>SUM(C75:C80)</f>
        <v>129226.49</v>
      </c>
      <c r="D81" s="92"/>
      <c r="E81" s="78"/>
    </row>
    <row r="82" spans="1:5" ht="12.75">
      <c r="A82" s="80"/>
      <c r="B82" s="132"/>
      <c r="C82" s="92"/>
      <c r="D82" s="92"/>
      <c r="E82" s="78"/>
    </row>
    <row r="83" spans="1:5" ht="12.75">
      <c r="A83" s="80"/>
      <c r="B83" s="131" t="s">
        <v>273</v>
      </c>
      <c r="C83" s="92"/>
      <c r="D83" s="92"/>
      <c r="E83" s="78"/>
    </row>
    <row r="84" spans="1:5" ht="12.75" customHeight="1">
      <c r="A84" s="80"/>
      <c r="B84" s="132" t="s">
        <v>193</v>
      </c>
      <c r="C84" s="91">
        <f>'ConvertedTB 2QTR'!C118</f>
        <v>55000.02</v>
      </c>
      <c r="D84" s="92"/>
      <c r="E84" s="78"/>
    </row>
    <row r="85" spans="1:5" ht="12.75" customHeight="1">
      <c r="A85" s="80"/>
      <c r="B85" s="133" t="s">
        <v>274</v>
      </c>
      <c r="C85" s="134">
        <f>+C84</f>
        <v>55000.02</v>
      </c>
      <c r="D85" s="92"/>
      <c r="E85" s="78"/>
    </row>
    <row r="86" spans="1:5" ht="12.75" customHeight="1">
      <c r="A86" s="80"/>
      <c r="B86" s="132"/>
      <c r="C86" s="92"/>
      <c r="D86" s="92"/>
      <c r="E86" s="78"/>
    </row>
    <row r="87" spans="1:5" ht="12.75" customHeight="1">
      <c r="A87" s="80"/>
      <c r="B87" s="131" t="s">
        <v>275</v>
      </c>
      <c r="C87" s="92"/>
      <c r="D87" s="92"/>
      <c r="E87" s="78"/>
    </row>
    <row r="88" spans="1:5" ht="12.75">
      <c r="A88" s="80"/>
      <c r="B88" s="132" t="s">
        <v>71</v>
      </c>
      <c r="C88" s="92">
        <f>'ConvertedTB 2QTR'!C119</f>
        <v>400</v>
      </c>
      <c r="D88" s="92"/>
      <c r="E88" s="78"/>
    </row>
    <row r="89" spans="1:5" ht="12.75">
      <c r="A89" s="80"/>
      <c r="B89" s="132" t="s">
        <v>198</v>
      </c>
      <c r="C89" s="92">
        <f>'ConvertedTB 2QTR'!C121</f>
        <v>0</v>
      </c>
      <c r="D89" s="92"/>
      <c r="E89" s="78"/>
    </row>
    <row r="90" spans="1:5" ht="12.75">
      <c r="A90" s="80"/>
      <c r="B90" s="132" t="s">
        <v>72</v>
      </c>
      <c r="C90" s="92">
        <f>'ConvertedTB 2QTR'!C122</f>
        <v>351036.95999999996</v>
      </c>
      <c r="D90" s="92"/>
      <c r="E90" s="78"/>
    </row>
    <row r="91" spans="1:5" ht="12.75">
      <c r="A91" s="80"/>
      <c r="B91" s="132" t="s">
        <v>180</v>
      </c>
      <c r="C91" s="91">
        <f>'ConvertedTB 2QTR'!C124</f>
        <v>0</v>
      </c>
      <c r="D91" s="92"/>
      <c r="E91" s="78"/>
    </row>
    <row r="92" spans="1:5" ht="12.75">
      <c r="A92" s="80"/>
      <c r="B92" s="133" t="s">
        <v>276</v>
      </c>
      <c r="C92" s="134">
        <f>SUM(C88:C91)</f>
        <v>351436.95999999996</v>
      </c>
      <c r="D92" s="92"/>
      <c r="E92" s="78"/>
    </row>
    <row r="93" spans="1:5" ht="12.75">
      <c r="A93" s="80"/>
      <c r="B93" s="132"/>
      <c r="C93" s="92"/>
      <c r="D93" s="92"/>
      <c r="E93" s="78"/>
    </row>
    <row r="94" spans="1:5" ht="12.75">
      <c r="A94" s="80"/>
      <c r="B94" s="131" t="s">
        <v>277</v>
      </c>
      <c r="C94" s="92"/>
      <c r="D94" s="92"/>
      <c r="E94" s="78"/>
    </row>
    <row r="95" spans="1:5" ht="12.75">
      <c r="A95" s="80"/>
      <c r="B95" s="132" t="s">
        <v>184</v>
      </c>
      <c r="C95" s="92">
        <f>'ConvertedTB 2QTR'!C125</f>
        <v>0</v>
      </c>
      <c r="D95" s="92">
        <v>309750</v>
      </c>
      <c r="E95" s="78"/>
    </row>
    <row r="96" spans="1:7" ht="12.75">
      <c r="A96" s="80"/>
      <c r="B96" s="132" t="s">
        <v>219</v>
      </c>
      <c r="C96" s="92">
        <f>'ConvertedTB 2QTR'!C127</f>
        <v>65407</v>
      </c>
      <c r="D96" s="92">
        <v>566200</v>
      </c>
      <c r="E96" s="78"/>
      <c r="G96" s="81"/>
    </row>
    <row r="97" spans="1:7" ht="12.75">
      <c r="A97" s="80"/>
      <c r="B97" s="132" t="s">
        <v>764</v>
      </c>
      <c r="C97" s="92">
        <f>'ConvertedTB 2QTR'!C128</f>
        <v>55510</v>
      </c>
      <c r="D97" s="92"/>
      <c r="E97" s="78"/>
      <c r="G97" s="81"/>
    </row>
    <row r="98" spans="1:7" ht="12.75">
      <c r="A98" s="80"/>
      <c r="B98" s="132" t="s">
        <v>229</v>
      </c>
      <c r="C98" s="92">
        <f>'ConvertedTB 2QTR'!C131</f>
        <v>54640</v>
      </c>
      <c r="D98" s="92"/>
      <c r="E98" s="78"/>
      <c r="G98" s="81"/>
    </row>
    <row r="99" spans="1:7" ht="12.75">
      <c r="A99" s="80"/>
      <c r="B99" s="132" t="s">
        <v>64</v>
      </c>
      <c r="C99" s="92">
        <f>'ConvertedTB 2QTR'!C132</f>
        <v>0</v>
      </c>
      <c r="D99" s="92"/>
      <c r="E99" s="78"/>
      <c r="G99" s="81"/>
    </row>
    <row r="100" spans="1:7" ht="12.75">
      <c r="A100" s="80"/>
      <c r="B100" s="132" t="s">
        <v>587</v>
      </c>
      <c r="C100" s="91">
        <f>'ConvertedTB 2QTR'!C133</f>
        <v>0</v>
      </c>
      <c r="D100" s="92"/>
      <c r="E100" s="78"/>
      <c r="G100" s="81"/>
    </row>
    <row r="101" spans="1:7" ht="12.75">
      <c r="A101" s="80"/>
      <c r="B101" s="133" t="s">
        <v>278</v>
      </c>
      <c r="C101" s="134">
        <f>SUM(C95:C100)</f>
        <v>175557</v>
      </c>
      <c r="D101" s="92"/>
      <c r="E101" s="78"/>
      <c r="G101" s="81"/>
    </row>
    <row r="102" spans="1:7" ht="12.75">
      <c r="A102" s="80"/>
      <c r="B102" s="132"/>
      <c r="C102" s="92"/>
      <c r="D102" s="92"/>
      <c r="E102" s="78"/>
      <c r="G102" s="81"/>
    </row>
    <row r="103" spans="1:7" ht="12.75">
      <c r="A103" s="80"/>
      <c r="B103" s="131" t="s">
        <v>279</v>
      </c>
      <c r="C103" s="92"/>
      <c r="D103" s="92"/>
      <c r="E103" s="78"/>
      <c r="G103" s="81"/>
    </row>
    <row r="104" spans="1:7" ht="12.75">
      <c r="A104" s="80"/>
      <c r="B104" s="132" t="s">
        <v>233</v>
      </c>
      <c r="C104" s="91">
        <f>'ConvertedTB 2QTR'!C134</f>
        <v>66359521.61999999</v>
      </c>
      <c r="D104" s="92"/>
      <c r="E104" s="78"/>
      <c r="G104" s="81"/>
    </row>
    <row r="105" spans="1:7" ht="12.75">
      <c r="A105" s="80"/>
      <c r="B105" s="133" t="s">
        <v>280</v>
      </c>
      <c r="C105" s="134">
        <f>+C104</f>
        <v>66359521.61999999</v>
      </c>
      <c r="D105" s="92"/>
      <c r="E105" s="78"/>
      <c r="G105" s="81"/>
    </row>
    <row r="106" spans="1:7" ht="12.75">
      <c r="A106" s="80"/>
      <c r="B106" s="132"/>
      <c r="C106" s="92"/>
      <c r="D106" s="92"/>
      <c r="E106" s="78"/>
      <c r="G106" s="81"/>
    </row>
    <row r="107" spans="1:7" ht="12.75">
      <c r="A107" s="80"/>
      <c r="B107" s="131" t="s">
        <v>281</v>
      </c>
      <c r="C107" s="92"/>
      <c r="D107" s="92"/>
      <c r="E107" s="78"/>
      <c r="G107" s="81"/>
    </row>
    <row r="108" spans="1:7" ht="12.75">
      <c r="A108" s="80"/>
      <c r="B108" s="132" t="s">
        <v>69</v>
      </c>
      <c r="C108" s="92">
        <f>'ConvertedTB 2QTR'!C135</f>
        <v>0</v>
      </c>
      <c r="D108" s="92"/>
      <c r="E108" s="78"/>
      <c r="G108" s="81"/>
    </row>
    <row r="109" spans="1:7" ht="12.75">
      <c r="A109" s="80"/>
      <c r="B109" s="132" t="s">
        <v>73</v>
      </c>
      <c r="C109" s="91">
        <f>'ConvertedTB 2QTR'!C138</f>
        <v>104112.1</v>
      </c>
      <c r="D109" s="92"/>
      <c r="E109" s="78"/>
      <c r="G109" s="81"/>
    </row>
    <row r="110" spans="1:7" ht="12.75">
      <c r="A110" s="80"/>
      <c r="B110" s="131" t="s">
        <v>282</v>
      </c>
      <c r="C110" s="134">
        <f>SUM(C108:C109)</f>
        <v>104112.1</v>
      </c>
      <c r="D110" s="92"/>
      <c r="E110" s="78"/>
      <c r="G110" s="81"/>
    </row>
    <row r="111" spans="1:7" ht="12.75">
      <c r="A111" s="80"/>
      <c r="B111" s="132"/>
      <c r="C111" s="92"/>
      <c r="D111" s="92"/>
      <c r="E111" s="78"/>
      <c r="G111" s="81"/>
    </row>
    <row r="112" spans="1:7" ht="12.75">
      <c r="A112" s="80"/>
      <c r="B112" s="131" t="s">
        <v>23</v>
      </c>
      <c r="C112" s="92"/>
      <c r="D112" s="92"/>
      <c r="E112" s="78"/>
      <c r="G112" s="81"/>
    </row>
    <row r="113" spans="1:7" ht="12.75">
      <c r="A113" s="80"/>
      <c r="B113" s="132" t="s">
        <v>38</v>
      </c>
      <c r="C113" s="92">
        <f>'ConvertedTB 2QTR'!C139</f>
        <v>0</v>
      </c>
      <c r="D113" s="92"/>
      <c r="E113" s="78"/>
      <c r="G113" s="81"/>
    </row>
    <row r="114" spans="1:7" ht="12.75">
      <c r="A114" s="80"/>
      <c r="B114" s="132" t="s">
        <v>62</v>
      </c>
      <c r="C114" s="92">
        <f>'ConvertedTB 2QTR'!C140</f>
        <v>0</v>
      </c>
      <c r="D114" s="92"/>
      <c r="E114" s="78"/>
      <c r="G114" s="81"/>
    </row>
    <row r="115" spans="1:7" ht="12.75">
      <c r="A115" s="80"/>
      <c r="B115" s="132" t="s">
        <v>63</v>
      </c>
      <c r="C115" s="92">
        <f>'ConvertedTB 2QTR'!C141</f>
        <v>1460</v>
      </c>
      <c r="D115" s="92"/>
      <c r="E115" s="78"/>
      <c r="G115" s="81"/>
    </row>
    <row r="116" spans="1:5" ht="12.75">
      <c r="A116" s="80"/>
      <c r="B116" s="132" t="s">
        <v>53</v>
      </c>
      <c r="C116" s="92">
        <f>'ConvertedTB 2QTR'!C143</f>
        <v>461176.47</v>
      </c>
      <c r="D116" s="92"/>
      <c r="E116" s="78"/>
    </row>
    <row r="117" spans="1:5" ht="12.75">
      <c r="A117" s="80"/>
      <c r="B117" s="132" t="s">
        <v>701</v>
      </c>
      <c r="C117" s="92">
        <f>'ConvertedTB 2QTR'!C144</f>
        <v>0</v>
      </c>
      <c r="D117" s="92"/>
      <c r="E117" s="78"/>
    </row>
    <row r="118" spans="1:5" ht="12.75">
      <c r="A118" s="80"/>
      <c r="B118" s="132" t="s">
        <v>23</v>
      </c>
      <c r="C118" s="91">
        <f>'ConvertedTB 2QTR'!C147</f>
        <v>460371.45</v>
      </c>
      <c r="D118" s="92"/>
      <c r="E118" s="78"/>
    </row>
    <row r="119" spans="1:5" ht="12.75">
      <c r="A119" s="80"/>
      <c r="B119" s="131" t="s">
        <v>283</v>
      </c>
      <c r="C119" s="134">
        <f>SUM(C113:C118)</f>
        <v>923007.9199999999</v>
      </c>
      <c r="D119" s="92"/>
      <c r="E119" s="78"/>
    </row>
    <row r="120" spans="1:5" ht="12.75">
      <c r="A120" s="80"/>
      <c r="B120" s="132"/>
      <c r="C120" s="92"/>
      <c r="D120" s="92"/>
      <c r="E120" s="78"/>
    </row>
    <row r="121" spans="1:5" ht="12.75">
      <c r="A121" s="80"/>
      <c r="B121" s="131" t="s">
        <v>284</v>
      </c>
      <c r="C121" s="92"/>
      <c r="D121" s="92"/>
      <c r="E121" s="78"/>
    </row>
    <row r="122" spans="1:7" ht="12.75">
      <c r="A122" s="80"/>
      <c r="B122" s="132" t="s">
        <v>245</v>
      </c>
      <c r="C122" s="91">
        <f>'ConvertedTB 2QTR'!C148</f>
        <v>0</v>
      </c>
      <c r="D122" s="92">
        <v>124944.7</v>
      </c>
      <c r="E122" s="78"/>
      <c r="G122" s="81">
        <f>SUM(C33:C122)</f>
        <v>160722761.10999995</v>
      </c>
    </row>
    <row r="123" spans="1:7" ht="12.75">
      <c r="A123" s="80"/>
      <c r="B123" s="133" t="s">
        <v>286</v>
      </c>
      <c r="C123" s="134">
        <f>+C122</f>
        <v>0</v>
      </c>
      <c r="D123" s="92"/>
      <c r="E123" s="78"/>
      <c r="G123" s="81"/>
    </row>
    <row r="124" spans="1:7" ht="12.75">
      <c r="A124" s="80"/>
      <c r="B124" s="132"/>
      <c r="C124" s="92"/>
      <c r="D124" s="92"/>
      <c r="E124" s="78"/>
      <c r="G124" s="81"/>
    </row>
    <row r="125" spans="1:7" ht="12.75" hidden="1">
      <c r="A125" s="80"/>
      <c r="B125" s="131" t="s">
        <v>285</v>
      </c>
      <c r="C125" s="92"/>
      <c r="D125" s="92"/>
      <c r="E125" s="78"/>
      <c r="G125" s="81"/>
    </row>
    <row r="126" spans="1:7" ht="12.75" hidden="1">
      <c r="A126" s="80"/>
      <c r="B126" s="135" t="s">
        <v>214</v>
      </c>
      <c r="C126" s="92"/>
      <c r="D126" s="92"/>
      <c r="E126" s="78"/>
      <c r="G126" s="81"/>
    </row>
    <row r="127" spans="1:7" ht="12.75" hidden="1">
      <c r="A127" s="80"/>
      <c r="B127" s="135" t="s">
        <v>77</v>
      </c>
      <c r="C127" s="92"/>
      <c r="D127" s="92"/>
      <c r="E127" s="78"/>
      <c r="G127" s="81"/>
    </row>
    <row r="128" spans="1:7" ht="12.75" hidden="1">
      <c r="A128" s="80"/>
      <c r="B128" s="135" t="s">
        <v>78</v>
      </c>
      <c r="C128" s="92"/>
      <c r="D128" s="92"/>
      <c r="E128" s="78"/>
      <c r="G128" s="81"/>
    </row>
    <row r="129" spans="1:7" ht="12.75" hidden="1">
      <c r="A129" s="80"/>
      <c r="B129" s="135" t="s">
        <v>79</v>
      </c>
      <c r="C129" s="92"/>
      <c r="D129" s="92"/>
      <c r="E129" s="78"/>
      <c r="G129" s="81"/>
    </row>
    <row r="130" spans="1:7" ht="12.75" hidden="1">
      <c r="A130" s="80"/>
      <c r="B130" s="135" t="s">
        <v>80</v>
      </c>
      <c r="C130" s="92"/>
      <c r="D130" s="92"/>
      <c r="E130" s="78"/>
      <c r="G130" s="81"/>
    </row>
    <row r="131" spans="1:7" ht="12.75" hidden="1">
      <c r="A131" s="80"/>
      <c r="B131" s="135" t="s">
        <v>81</v>
      </c>
      <c r="C131" s="92"/>
      <c r="D131" s="92"/>
      <c r="E131" s="78"/>
      <c r="G131" s="81"/>
    </row>
    <row r="132" spans="1:7" ht="12.75" hidden="1">
      <c r="A132" s="80"/>
      <c r="B132" s="135" t="s">
        <v>82</v>
      </c>
      <c r="C132" s="91"/>
      <c r="D132" s="92"/>
      <c r="E132" s="78"/>
      <c r="G132" s="81"/>
    </row>
    <row r="133" spans="1:7" ht="12.75" hidden="1">
      <c r="A133" s="80"/>
      <c r="B133" s="133" t="s">
        <v>287</v>
      </c>
      <c r="C133" s="134">
        <f>SUM(C126:C132)</f>
        <v>0</v>
      </c>
      <c r="D133" s="92"/>
      <c r="E133" s="78"/>
      <c r="G133" s="81"/>
    </row>
    <row r="134" spans="1:7" ht="12.75">
      <c r="A134" s="80"/>
      <c r="B134" s="133"/>
      <c r="C134" s="134"/>
      <c r="D134" s="92"/>
      <c r="E134" s="78"/>
      <c r="G134" s="81"/>
    </row>
    <row r="135" spans="1:7" ht="12.75">
      <c r="A135" s="80"/>
      <c r="B135" s="80" t="s">
        <v>544</v>
      </c>
      <c r="C135" s="137">
        <f>C51+C56+C66+C72+C81+C85+C92+C101+C105+C110+C119+C123+C133</f>
        <v>72233432.82999998</v>
      </c>
      <c r="D135" s="92"/>
      <c r="E135" s="78"/>
      <c r="G135" s="81"/>
    </row>
    <row r="136" spans="1:8" ht="12.75">
      <c r="A136" s="3"/>
      <c r="B136" s="3"/>
      <c r="C136" s="82"/>
      <c r="D136" s="83"/>
      <c r="E136" s="79"/>
      <c r="F136" s="3"/>
      <c r="G136" s="84"/>
      <c r="H136" s="83"/>
    </row>
    <row r="137" spans="1:8" ht="12.75">
      <c r="A137" s="3"/>
      <c r="B137" s="80" t="s">
        <v>289</v>
      </c>
      <c r="C137" s="82">
        <f>+C135+C45</f>
        <v>83588974.39999998</v>
      </c>
      <c r="D137" s="83"/>
      <c r="E137" s="79"/>
      <c r="F137" s="3"/>
      <c r="G137" s="84"/>
      <c r="H137" s="83"/>
    </row>
    <row r="138" spans="1:8" ht="12.75">
      <c r="A138" s="3"/>
      <c r="B138" s="80"/>
      <c r="C138" s="82"/>
      <c r="D138" s="83"/>
      <c r="E138" s="79"/>
      <c r="F138" s="3"/>
      <c r="G138" s="84"/>
      <c r="H138" s="83"/>
    </row>
    <row r="139" spans="1:8" ht="12.75">
      <c r="A139" s="3"/>
      <c r="B139" s="80" t="s">
        <v>290</v>
      </c>
      <c r="C139" s="82">
        <f>+-C137</f>
        <v>-83588974.39999998</v>
      </c>
      <c r="D139" s="83"/>
      <c r="E139" s="79"/>
      <c r="F139" s="3"/>
      <c r="G139" s="84"/>
      <c r="H139" s="83"/>
    </row>
    <row r="140" spans="1:8" ht="12.75">
      <c r="A140" s="3"/>
      <c r="B140" s="80"/>
      <c r="C140" s="82"/>
      <c r="D140" s="83"/>
      <c r="E140" s="79"/>
      <c r="F140" s="3"/>
      <c r="G140" s="84"/>
      <c r="H140" s="83"/>
    </row>
    <row r="141" spans="1:8" ht="12.75" customHeight="1">
      <c r="A141" s="553" t="s">
        <v>291</v>
      </c>
      <c r="B141" s="553"/>
      <c r="C141" s="138"/>
      <c r="D141" s="138"/>
      <c r="E141" s="138"/>
      <c r="F141" s="138"/>
      <c r="G141" s="77"/>
      <c r="H141" s="83"/>
    </row>
    <row r="142" spans="1:8" ht="12.75" customHeight="1">
      <c r="A142" s="139"/>
      <c r="B142" s="143" t="s">
        <v>142</v>
      </c>
      <c r="C142" s="142">
        <f>'ConvertedTB 2QTR'!D68</f>
        <v>63721913.62</v>
      </c>
      <c r="D142" s="138"/>
      <c r="E142" s="138"/>
      <c r="F142" s="138"/>
      <c r="G142" s="77"/>
      <c r="H142" s="83"/>
    </row>
    <row r="143" spans="1:8" ht="12.75" customHeight="1">
      <c r="A143" s="139"/>
      <c r="B143" s="143" t="s">
        <v>673</v>
      </c>
      <c r="C143" s="528">
        <f>'ConvertedTB 2QTR'!D69</f>
        <v>20458708.35</v>
      </c>
      <c r="D143" s="138"/>
      <c r="E143" s="138"/>
      <c r="F143" s="138"/>
      <c r="G143" s="77"/>
      <c r="H143" s="83"/>
    </row>
    <row r="144" spans="1:8" ht="12.75">
      <c r="A144" s="3"/>
      <c r="B144" s="80" t="s">
        <v>292</v>
      </c>
      <c r="C144" s="145">
        <f>+C142+C143</f>
        <v>84180621.97</v>
      </c>
      <c r="D144" s="83"/>
      <c r="E144" s="79"/>
      <c r="F144" s="3"/>
      <c r="G144" s="84"/>
      <c r="H144" s="83"/>
    </row>
    <row r="145" spans="1:8" ht="16.5" customHeight="1" thickBot="1">
      <c r="A145" s="80" t="s">
        <v>293</v>
      </c>
      <c r="B145" s="3"/>
      <c r="C145" s="144">
        <f>+C139+C144</f>
        <v>591647.5700000226</v>
      </c>
      <c r="D145" s="83"/>
      <c r="E145" s="95"/>
      <c r="F145" s="3"/>
      <c r="G145" s="85"/>
      <c r="H145" s="83"/>
    </row>
    <row r="146" spans="1:8" ht="15.75" customHeight="1" thickTop="1">
      <c r="A146" s="2"/>
      <c r="B146" s="2"/>
      <c r="C146" s="83"/>
      <c r="D146" s="83"/>
      <c r="E146" s="86"/>
      <c r="F146" s="3"/>
      <c r="G146" s="85"/>
      <c r="H146" s="83"/>
    </row>
    <row r="147" spans="1:8" ht="10.5" customHeight="1">
      <c r="A147" s="2"/>
      <c r="B147" s="2"/>
      <c r="C147" s="83"/>
      <c r="D147" s="83"/>
      <c r="E147" s="86"/>
      <c r="F147" s="3"/>
      <c r="G147" s="85"/>
      <c r="H147" s="83"/>
    </row>
    <row r="148" spans="1:5" ht="12.75">
      <c r="A148" s="16" t="s">
        <v>25</v>
      </c>
      <c r="C148" s="1" t="s">
        <v>55</v>
      </c>
      <c r="D148" s="78"/>
      <c r="E148" s="78"/>
    </row>
    <row r="149" spans="1:5" ht="12.75">
      <c r="A149" s="16"/>
      <c r="C149" s="99"/>
      <c r="D149" s="87"/>
      <c r="E149" s="87"/>
    </row>
    <row r="150" spans="1:5" ht="12.75">
      <c r="A150" s="16"/>
      <c r="C150" s="100"/>
      <c r="D150" s="16"/>
      <c r="E150" s="16"/>
    </row>
    <row r="151" spans="1:5" ht="12.75">
      <c r="A151" s="17" t="s">
        <v>658</v>
      </c>
      <c r="C151" s="20" t="s">
        <v>712</v>
      </c>
      <c r="E151" s="88"/>
    </row>
    <row r="152" spans="1:5" ht="12.75">
      <c r="A152" s="16" t="s">
        <v>210</v>
      </c>
      <c r="C152" s="1" t="s">
        <v>224</v>
      </c>
      <c r="E152" s="88"/>
    </row>
    <row r="153" ht="12.75">
      <c r="A153" s="30"/>
    </row>
  </sheetData>
  <sheetProtection/>
  <mergeCells count="5">
    <mergeCell ref="A141:B141"/>
    <mergeCell ref="A1:E1"/>
    <mergeCell ref="A2:E2"/>
    <mergeCell ref="A3:E3"/>
    <mergeCell ref="A4:E4"/>
  </mergeCells>
  <printOptions horizontalCentered="1"/>
  <pageMargins left="0.25" right="0.25" top="0.75" bottom="0.25" header="0.3" footer="0.3"/>
  <pageSetup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">
      <selection activeCell="C27" sqref="C27:C28"/>
    </sheetView>
  </sheetViews>
  <sheetFormatPr defaultColWidth="9.140625" defaultRowHeight="12.75"/>
  <cols>
    <col min="1" max="1" width="4.00390625" style="1" customWidth="1"/>
    <col min="2" max="2" width="40.140625" style="1" customWidth="1"/>
    <col min="3" max="3" width="16.28125" style="1" customWidth="1"/>
    <col min="4" max="4" width="1.7109375" style="1" customWidth="1"/>
    <col min="5" max="5" width="16.57421875" style="1" customWidth="1"/>
    <col min="6" max="16384" width="9.140625" style="1" customWidth="1"/>
  </cols>
  <sheetData>
    <row r="1" spans="1:5" ht="12.75">
      <c r="A1" s="551" t="s">
        <v>1</v>
      </c>
      <c r="B1" s="551"/>
      <c r="C1" s="551"/>
      <c r="D1" s="551"/>
      <c r="E1" s="551"/>
    </row>
    <row r="2" spans="1:5" ht="12.75">
      <c r="A2" s="551" t="s">
        <v>599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tr">
        <f>'DetSFPerf 2nd Qtr'!A4:E4</f>
        <v>As of June 30, 2020</v>
      </c>
      <c r="B4" s="552"/>
      <c r="C4" s="552"/>
      <c r="D4" s="552"/>
      <c r="E4" s="552"/>
    </row>
    <row r="7" ht="12.75">
      <c r="E7" s="94"/>
    </row>
    <row r="8" spans="1:5" ht="12.75">
      <c r="A8" s="2" t="s">
        <v>247</v>
      </c>
      <c r="C8" s="147">
        <v>0</v>
      </c>
      <c r="E8" s="78"/>
    </row>
    <row r="9" spans="3:5" ht="12.75">
      <c r="C9" s="78"/>
      <c r="D9" s="78"/>
      <c r="E9" s="94"/>
    </row>
    <row r="10" spans="3:5" ht="12.75">
      <c r="C10" s="78"/>
      <c r="D10" s="78"/>
      <c r="E10" s="78"/>
    </row>
    <row r="11" spans="1:5" ht="12.75">
      <c r="A11" s="2" t="s">
        <v>294</v>
      </c>
      <c r="C11" s="78"/>
      <c r="D11" s="78"/>
      <c r="E11" s="78"/>
    </row>
    <row r="12" spans="2:5" ht="12.75">
      <c r="B12" s="3" t="s">
        <v>92</v>
      </c>
      <c r="C12" s="92">
        <f>'DetSFPerf 2nd Qtr'!C45</f>
        <v>11355541.57</v>
      </c>
      <c r="D12" s="79"/>
      <c r="E12" s="78"/>
    </row>
    <row r="13" spans="2:5" ht="12.75">
      <c r="B13" s="3" t="s">
        <v>93</v>
      </c>
      <c r="C13" s="92">
        <f>'DetSFPerf 2nd Qtr'!C135-C14</f>
        <v>72233432.82999998</v>
      </c>
      <c r="D13" s="79"/>
      <c r="E13" s="79"/>
    </row>
    <row r="14" spans="2:5" ht="12.75">
      <c r="B14" s="3" t="s">
        <v>284</v>
      </c>
      <c r="C14" s="92">
        <f>'DetSFPerf 2nd Qtr'!C123</f>
        <v>0</v>
      </c>
      <c r="D14" s="79"/>
      <c r="E14" s="79"/>
    </row>
    <row r="15" spans="2:5" ht="12.75">
      <c r="B15" s="3" t="s">
        <v>285</v>
      </c>
      <c r="C15" s="91">
        <f>'DetSFPerf 2nd Qtr'!C133</f>
        <v>0</v>
      </c>
      <c r="D15" s="79"/>
      <c r="E15" s="79"/>
    </row>
    <row r="16" spans="1:5" ht="21" customHeight="1">
      <c r="A16" s="2" t="s">
        <v>288</v>
      </c>
      <c r="B16" s="2"/>
      <c r="C16" s="148">
        <f>SUM(C12:C15)</f>
        <v>83588974.39999998</v>
      </c>
      <c r="D16" s="2"/>
      <c r="E16" s="95"/>
    </row>
    <row r="17" ht="12.75">
      <c r="E17" s="79"/>
    </row>
    <row r="18" spans="1:5" ht="12.75">
      <c r="A18" s="2" t="s">
        <v>290</v>
      </c>
      <c r="C18" s="149">
        <f>+C8-C16</f>
        <v>-83588974.39999998</v>
      </c>
      <c r="E18" s="78"/>
    </row>
    <row r="19" ht="12.75">
      <c r="E19" s="78"/>
    </row>
    <row r="20" spans="1:5" ht="12.75">
      <c r="A20" s="2" t="s">
        <v>292</v>
      </c>
      <c r="C20" s="91">
        <f>'DetSFPerf 2nd Qtr'!C144</f>
        <v>84180621.97</v>
      </c>
      <c r="E20" s="78"/>
    </row>
    <row r="21" spans="1:5" ht="13.5" thickBot="1">
      <c r="A21" s="2" t="s">
        <v>293</v>
      </c>
      <c r="C21" s="349">
        <f>+C18+C20</f>
        <v>591647.5700000226</v>
      </c>
      <c r="E21" s="78"/>
    </row>
    <row r="22" spans="1:5" ht="13.5" thickTop="1">
      <c r="A22" s="2"/>
      <c r="C22" s="89"/>
      <c r="E22" s="78"/>
    </row>
    <row r="23" ht="12.75">
      <c r="E23" s="78"/>
    </row>
    <row r="24" spans="1:8" s="77" customFormat="1" ht="12.75">
      <c r="A24" s="16" t="s">
        <v>25</v>
      </c>
      <c r="C24" s="1" t="s">
        <v>55</v>
      </c>
      <c r="D24" s="78"/>
      <c r="E24" s="78"/>
      <c r="F24" s="76"/>
      <c r="G24" s="76"/>
      <c r="H24" s="76"/>
    </row>
    <row r="25" spans="1:8" s="77" customFormat="1" ht="12.75">
      <c r="A25" s="16"/>
      <c r="C25" s="99"/>
      <c r="D25" s="87"/>
      <c r="E25" s="87"/>
      <c r="F25" s="76"/>
      <c r="G25" s="76"/>
      <c r="H25" s="76"/>
    </row>
    <row r="26" spans="1:8" s="77" customFormat="1" ht="12.75">
      <c r="A26" s="16"/>
      <c r="C26" s="100"/>
      <c r="D26" s="16"/>
      <c r="E26" s="16"/>
      <c r="F26" s="76"/>
      <c r="G26" s="76"/>
      <c r="H26" s="76"/>
    </row>
    <row r="27" spans="1:8" s="77" customFormat="1" ht="12.75">
      <c r="A27" s="17" t="s">
        <v>658</v>
      </c>
      <c r="C27" s="20" t="s">
        <v>712</v>
      </c>
      <c r="E27" s="88"/>
      <c r="F27" s="76"/>
      <c r="G27" s="76"/>
      <c r="H27" s="76"/>
    </row>
    <row r="28" spans="1:8" s="77" customFormat="1" ht="12.75">
      <c r="A28" s="16" t="s">
        <v>210</v>
      </c>
      <c r="C28" s="1" t="s">
        <v>224</v>
      </c>
      <c r="E28" s="88"/>
      <c r="F28" s="76"/>
      <c r="G28" s="76"/>
      <c r="H28" s="76"/>
    </row>
    <row r="29" ht="12.75">
      <c r="E29" s="78"/>
    </row>
    <row r="30" ht="12.75">
      <c r="E30" s="78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49"/>
  <sheetViews>
    <sheetView zoomScale="115" zoomScaleNormal="115" zoomScalePageLayoutView="0" workbookViewId="0" topLeftCell="A1">
      <selection activeCell="F9" sqref="F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3.421875" style="1" customWidth="1"/>
    <col min="4" max="4" width="54.421875" style="1" customWidth="1"/>
    <col min="5" max="5" width="10.00390625" style="1" customWidth="1"/>
    <col min="6" max="6" width="18.00390625" style="1" customWidth="1"/>
    <col min="7" max="7" width="1.7109375" style="1" customWidth="1"/>
    <col min="8" max="8" width="18.28125" style="1" customWidth="1"/>
    <col min="9" max="9" width="9.140625" style="89" customWidth="1"/>
    <col min="10" max="10" width="25.00390625" style="89" customWidth="1"/>
    <col min="11" max="11" width="9.140625" style="89" customWidth="1"/>
    <col min="12" max="16384" width="9.140625" style="1" customWidth="1"/>
  </cols>
  <sheetData>
    <row r="1" spans="1:8" ht="15">
      <c r="A1" s="555" t="s">
        <v>1</v>
      </c>
      <c r="B1" s="555"/>
      <c r="C1" s="555"/>
      <c r="D1" s="555"/>
      <c r="E1" s="555"/>
      <c r="F1" s="555"/>
      <c r="G1" s="96"/>
      <c r="H1" s="96"/>
    </row>
    <row r="2" spans="1:8" ht="12.75">
      <c r="A2" s="551" t="s">
        <v>295</v>
      </c>
      <c r="B2" s="551"/>
      <c r="C2" s="551"/>
      <c r="D2" s="551"/>
      <c r="E2" s="551"/>
      <c r="F2" s="551"/>
      <c r="G2" s="87"/>
      <c r="H2" s="87"/>
    </row>
    <row r="3" spans="1:8" ht="12.75">
      <c r="A3" s="552" t="s">
        <v>215</v>
      </c>
      <c r="B3" s="552"/>
      <c r="C3" s="552"/>
      <c r="D3" s="552"/>
      <c r="E3" s="552"/>
      <c r="F3" s="552"/>
      <c r="G3" s="16"/>
      <c r="H3" s="16"/>
    </row>
    <row r="4" spans="1:8" ht="12.75">
      <c r="A4" s="552" t="s">
        <v>761</v>
      </c>
      <c r="B4" s="552"/>
      <c r="C4" s="552"/>
      <c r="D4" s="552"/>
      <c r="E4" s="552"/>
      <c r="F4" s="552"/>
      <c r="G4" s="16"/>
      <c r="H4" s="16"/>
    </row>
    <row r="6" spans="1:8" ht="15">
      <c r="A6" s="96" t="s">
        <v>9</v>
      </c>
      <c r="B6" s="96"/>
      <c r="C6" s="96"/>
      <c r="D6" s="96"/>
      <c r="E6" s="96"/>
      <c r="F6" s="96"/>
      <c r="G6" s="96"/>
      <c r="H6" s="96"/>
    </row>
    <row r="7" spans="6:8" ht="12.75">
      <c r="F7" s="78"/>
      <c r="G7" s="78"/>
      <c r="H7" s="78"/>
    </row>
    <row r="8" spans="1:8" ht="15">
      <c r="A8" s="90" t="s">
        <v>83</v>
      </c>
      <c r="F8" s="78"/>
      <c r="G8" s="78"/>
      <c r="H8" s="78"/>
    </row>
    <row r="9" spans="1:8" ht="12.75">
      <c r="A9" s="159"/>
      <c r="B9" s="176" t="s">
        <v>296</v>
      </c>
      <c r="C9" s="151"/>
      <c r="D9" s="153"/>
      <c r="E9" s="160"/>
      <c r="F9" s="216">
        <f>+F10+F13+F16</f>
        <v>12997516.209999993</v>
      </c>
      <c r="G9" s="78"/>
      <c r="H9" s="78"/>
    </row>
    <row r="10" spans="1:8" ht="12.75">
      <c r="A10" s="161"/>
      <c r="B10" s="173"/>
      <c r="C10" s="168" t="s">
        <v>297</v>
      </c>
      <c r="D10" s="152"/>
      <c r="E10" s="152"/>
      <c r="F10" s="217">
        <f>+F11</f>
        <v>35000</v>
      </c>
      <c r="G10" s="79"/>
      <c r="H10" s="79"/>
    </row>
    <row r="11" spans="1:8" ht="12.75">
      <c r="A11" s="161"/>
      <c r="B11" s="173"/>
      <c r="C11" s="168"/>
      <c r="D11" s="162" t="s">
        <v>101</v>
      </c>
      <c r="E11" s="152"/>
      <c r="F11" s="216">
        <f>'ConvertedTB 2QTR'!O15</f>
        <v>35000</v>
      </c>
      <c r="G11" s="79"/>
      <c r="H11" s="79"/>
    </row>
    <row r="12" spans="1:8" ht="12.75" customHeight="1">
      <c r="A12" s="161"/>
      <c r="B12" s="173"/>
      <c r="C12" s="168"/>
      <c r="D12" s="152"/>
      <c r="E12" s="152"/>
      <c r="F12" s="216"/>
      <c r="G12" s="79"/>
      <c r="H12" s="79"/>
    </row>
    <row r="13" spans="1:8" ht="12.75" customHeight="1">
      <c r="A13" s="164"/>
      <c r="B13" s="164"/>
      <c r="C13" s="168" t="s">
        <v>298</v>
      </c>
      <c r="D13" s="152"/>
      <c r="E13" s="152"/>
      <c r="F13" s="217">
        <f>+F14</f>
        <v>12594403.790000001</v>
      </c>
      <c r="G13" s="79"/>
      <c r="H13" s="79"/>
    </row>
    <row r="14" spans="1:8" ht="12.75">
      <c r="A14" s="164"/>
      <c r="B14" s="164"/>
      <c r="C14" s="168"/>
      <c r="D14" s="177" t="s">
        <v>299</v>
      </c>
      <c r="E14" s="152"/>
      <c r="F14" s="216">
        <f>'ConvertedTB 2QTR'!O19</f>
        <v>12594403.790000001</v>
      </c>
      <c r="G14" s="79"/>
      <c r="H14" s="79"/>
    </row>
    <row r="15" spans="1:8" ht="12.75">
      <c r="A15" s="164"/>
      <c r="B15" s="164"/>
      <c r="C15" s="168"/>
      <c r="D15" s="177"/>
      <c r="E15" s="152"/>
      <c r="F15" s="216"/>
      <c r="G15" s="79"/>
      <c r="H15" s="79"/>
    </row>
    <row r="16" spans="1:8" ht="12.75">
      <c r="A16" s="161"/>
      <c r="B16" s="172"/>
      <c r="C16" s="168" t="s">
        <v>300</v>
      </c>
      <c r="D16" s="168"/>
      <c r="E16" s="152"/>
      <c r="F16" s="217">
        <f>SUM(F17:F19)</f>
        <v>368112.41999999253</v>
      </c>
      <c r="G16" s="79"/>
      <c r="H16" s="79"/>
    </row>
    <row r="17" spans="1:8" ht="12.75">
      <c r="A17" s="161"/>
      <c r="B17" s="172"/>
      <c r="C17" s="168"/>
      <c r="D17" s="168" t="s">
        <v>510</v>
      </c>
      <c r="E17" s="152"/>
      <c r="F17" s="216">
        <f>'ConvertedTB 2QTR'!O16</f>
        <v>333912.42</v>
      </c>
      <c r="G17" s="79"/>
      <c r="H17" s="79"/>
    </row>
    <row r="18" spans="1:8" ht="12.75">
      <c r="A18" s="161"/>
      <c r="B18" s="172"/>
      <c r="C18" s="168"/>
      <c r="D18" s="168" t="s">
        <v>593</v>
      </c>
      <c r="E18" s="152"/>
      <c r="F18" s="216">
        <f>'ConvertedTB 2QTR'!O17</f>
        <v>0</v>
      </c>
      <c r="G18" s="79"/>
      <c r="H18" s="79"/>
    </row>
    <row r="19" spans="1:8" ht="12.75">
      <c r="A19" s="161"/>
      <c r="B19" s="172"/>
      <c r="C19" s="168"/>
      <c r="D19" s="162" t="s">
        <v>301</v>
      </c>
      <c r="E19" s="152"/>
      <c r="F19" s="216">
        <f>'ConvertedTB 2QTR'!O18</f>
        <v>34199.99999999255</v>
      </c>
      <c r="G19" s="79"/>
      <c r="H19" s="79"/>
    </row>
    <row r="20" spans="1:8" ht="12.75">
      <c r="A20" s="161"/>
      <c r="B20" s="172"/>
      <c r="C20" s="168"/>
      <c r="D20" s="162"/>
      <c r="E20" s="152"/>
      <c r="F20" s="216"/>
      <c r="G20" s="79"/>
      <c r="H20" s="79"/>
    </row>
    <row r="21" spans="1:8" ht="12.75">
      <c r="A21" s="161"/>
      <c r="B21" s="176" t="s">
        <v>84</v>
      </c>
      <c r="C21" s="168"/>
      <c r="D21" s="162"/>
      <c r="E21" s="152"/>
      <c r="F21" s="216">
        <f>F22</f>
        <v>22235986.29</v>
      </c>
      <c r="G21" s="79"/>
      <c r="H21" s="79"/>
    </row>
    <row r="22" spans="1:8" ht="12.75">
      <c r="A22" s="161"/>
      <c r="B22" s="172"/>
      <c r="C22" s="168" t="s">
        <v>724</v>
      </c>
      <c r="D22" s="162"/>
      <c r="E22" s="152"/>
      <c r="F22" s="219">
        <f>F23</f>
        <v>22235986.29</v>
      </c>
      <c r="G22" s="79"/>
      <c r="H22" s="79"/>
    </row>
    <row r="23" spans="1:8" ht="12.75">
      <c r="A23" s="161"/>
      <c r="B23" s="172"/>
      <c r="C23" s="168"/>
      <c r="D23" s="162" t="s">
        <v>725</v>
      </c>
      <c r="E23" s="152"/>
      <c r="F23" s="220">
        <f>'ConvertedTB 2QTR'!O20</f>
        <v>22235986.29</v>
      </c>
      <c r="G23" s="79"/>
      <c r="H23" s="79"/>
    </row>
    <row r="24" spans="1:8" ht="12.75">
      <c r="A24" s="161"/>
      <c r="B24" s="172"/>
      <c r="C24" s="168"/>
      <c r="D24" s="162"/>
      <c r="E24" s="152"/>
      <c r="F24" s="216"/>
      <c r="G24" s="79"/>
      <c r="H24" s="79"/>
    </row>
    <row r="25" spans="1:8" ht="12.75">
      <c r="A25" s="161"/>
      <c r="B25" s="172"/>
      <c r="C25" s="168"/>
      <c r="D25" s="162"/>
      <c r="E25" s="152"/>
      <c r="F25" s="216"/>
      <c r="G25" s="79"/>
      <c r="H25" s="79"/>
    </row>
    <row r="26" spans="1:8" ht="12.75">
      <c r="A26" s="156"/>
      <c r="B26" s="176" t="s">
        <v>85</v>
      </c>
      <c r="C26" s="151"/>
      <c r="D26" s="151"/>
      <c r="E26" s="160"/>
      <c r="F26" s="217">
        <f>+F27+F30+F35</f>
        <v>599500</v>
      </c>
      <c r="G26" s="78"/>
      <c r="H26" s="78"/>
    </row>
    <row r="27" spans="1:8" ht="12.75">
      <c r="A27" s="156"/>
      <c r="B27" s="176"/>
      <c r="C27" s="168" t="s">
        <v>303</v>
      </c>
      <c r="D27" s="151"/>
      <c r="E27" s="160"/>
      <c r="F27" s="217">
        <f>+F28</f>
        <v>497000</v>
      </c>
      <c r="G27" s="78"/>
      <c r="H27" s="78"/>
    </row>
    <row r="28" spans="1:8" ht="12.75">
      <c r="A28" s="156"/>
      <c r="B28" s="176"/>
      <c r="C28" s="151"/>
      <c r="D28" s="162" t="s">
        <v>225</v>
      </c>
      <c r="E28" s="160"/>
      <c r="F28" s="218">
        <f>'ConvertedTB 2QTR'!C21</f>
        <v>497000</v>
      </c>
      <c r="G28" s="78"/>
      <c r="H28" s="78"/>
    </row>
    <row r="29" spans="1:8" ht="12.75">
      <c r="A29" s="156"/>
      <c r="B29" s="176"/>
      <c r="C29" s="151"/>
      <c r="D29" s="162"/>
      <c r="E29" s="160"/>
      <c r="F29" s="218"/>
      <c r="G29" s="78"/>
      <c r="H29" s="78"/>
    </row>
    <row r="30" spans="1:8" ht="12.75">
      <c r="A30" s="161"/>
      <c r="B30" s="166"/>
      <c r="C30" s="168" t="s">
        <v>304</v>
      </c>
      <c r="D30" s="152"/>
      <c r="E30" s="152"/>
      <c r="F30" s="217">
        <f>+F31+F32+F33</f>
        <v>102500</v>
      </c>
      <c r="G30" s="78"/>
      <c r="H30" s="78"/>
    </row>
    <row r="31" spans="1:8" ht="12.75">
      <c r="A31" s="161"/>
      <c r="B31" s="166"/>
      <c r="C31" s="168"/>
      <c r="D31" s="162" t="s">
        <v>11</v>
      </c>
      <c r="E31" s="152"/>
      <c r="F31" s="218">
        <f>'ConvertedTB 2QTR'!O22</f>
        <v>102500</v>
      </c>
      <c r="G31" s="78"/>
      <c r="H31" s="78"/>
    </row>
    <row r="32" spans="1:8" ht="12.75">
      <c r="A32" s="161"/>
      <c r="B32" s="166"/>
      <c r="C32" s="168"/>
      <c r="D32" s="162" t="s">
        <v>108</v>
      </c>
      <c r="E32" s="152"/>
      <c r="F32" s="218">
        <f>'ConvertedTB 2QTR'!O23</f>
        <v>0</v>
      </c>
      <c r="G32" s="78"/>
      <c r="H32" s="78"/>
    </row>
    <row r="33" spans="1:8" ht="12.75">
      <c r="A33" s="161"/>
      <c r="B33" s="166"/>
      <c r="C33" s="168"/>
      <c r="D33" s="162" t="s">
        <v>109</v>
      </c>
      <c r="E33" s="152"/>
      <c r="F33" s="218">
        <f>'ConvertedTB 2QTR'!C24</f>
        <v>0</v>
      </c>
      <c r="G33" s="78"/>
      <c r="H33" s="78"/>
    </row>
    <row r="34" spans="1:8" ht="12.75">
      <c r="A34" s="161"/>
      <c r="B34" s="166"/>
      <c r="C34" s="168"/>
      <c r="D34" s="152"/>
      <c r="E34" s="152"/>
      <c r="F34" s="89"/>
      <c r="G34" s="78"/>
      <c r="H34" s="78"/>
    </row>
    <row r="35" spans="1:8" ht="12.75">
      <c r="A35" s="161"/>
      <c r="B35" s="166"/>
      <c r="C35" s="168" t="s">
        <v>305</v>
      </c>
      <c r="D35" s="152"/>
      <c r="E35" s="152"/>
      <c r="F35" s="217">
        <f>SUM(F36:F39)</f>
        <v>0</v>
      </c>
      <c r="G35" s="78"/>
      <c r="H35" s="78"/>
    </row>
    <row r="36" spans="1:8" ht="12.75">
      <c r="A36" s="161"/>
      <c r="B36" s="166"/>
      <c r="C36" s="168"/>
      <c r="D36" s="162" t="s">
        <v>306</v>
      </c>
      <c r="E36" s="152"/>
      <c r="F36" s="218">
        <f>'ConvertedTB 2QTR'!O24</f>
        <v>0</v>
      </c>
      <c r="G36" s="78"/>
      <c r="H36" s="78"/>
    </row>
    <row r="37" spans="1:8" ht="12.75">
      <c r="A37" s="161"/>
      <c r="B37" s="166"/>
      <c r="C37" s="168"/>
      <c r="D37" s="162" t="s">
        <v>307</v>
      </c>
      <c r="E37" s="152"/>
      <c r="F37" s="218">
        <f>'ConvertedTB 2QTR'!O25</f>
        <v>0</v>
      </c>
      <c r="G37" s="78"/>
      <c r="H37" s="78"/>
    </row>
    <row r="38" spans="1:8" ht="12.75">
      <c r="A38" s="161"/>
      <c r="B38" s="166"/>
      <c r="C38" s="168"/>
      <c r="D38" s="162" t="s">
        <v>602</v>
      </c>
      <c r="E38" s="152"/>
      <c r="F38" s="218">
        <f>'ConvertedTB 2QTR'!O26</f>
        <v>0</v>
      </c>
      <c r="G38" s="78"/>
      <c r="H38" s="78"/>
    </row>
    <row r="39" spans="1:8" ht="12.75">
      <c r="A39" s="161"/>
      <c r="B39" s="166"/>
      <c r="C39" s="168"/>
      <c r="D39" s="162" t="s">
        <v>601</v>
      </c>
      <c r="E39" s="152"/>
      <c r="F39" s="218">
        <f>'ConvertedTB 2QTR'!O27</f>
        <v>0</v>
      </c>
      <c r="G39" s="78"/>
      <c r="H39" s="78"/>
    </row>
    <row r="40" spans="1:8" ht="12.75">
      <c r="A40" s="161"/>
      <c r="B40" s="166"/>
      <c r="C40" s="168"/>
      <c r="D40" s="162"/>
      <c r="E40" s="152"/>
      <c r="F40" s="218"/>
      <c r="G40" s="78"/>
      <c r="H40" s="78"/>
    </row>
    <row r="41" spans="1:8" ht="12.75">
      <c r="A41" s="161"/>
      <c r="B41" s="166"/>
      <c r="C41" s="168"/>
      <c r="D41" s="152"/>
      <c r="E41" s="152"/>
      <c r="F41" s="89"/>
      <c r="G41" s="78"/>
      <c r="H41" s="78"/>
    </row>
    <row r="42" spans="1:8" ht="12.75">
      <c r="A42" s="156"/>
      <c r="B42" s="151" t="s">
        <v>308</v>
      </c>
      <c r="C42" s="151"/>
      <c r="D42" s="151"/>
      <c r="E42" s="160"/>
      <c r="F42" s="217">
        <f>+F43+F48</f>
        <v>15409768.49</v>
      </c>
      <c r="G42" s="78"/>
      <c r="H42" s="78"/>
    </row>
    <row r="43" spans="1:8" ht="12.75">
      <c r="A43" s="161"/>
      <c r="B43" s="166"/>
      <c r="C43" s="168" t="s">
        <v>309</v>
      </c>
      <c r="D43" s="168"/>
      <c r="E43" s="152"/>
      <c r="F43" s="217">
        <f>+F44+F45+F46</f>
        <v>14099.309999999998</v>
      </c>
      <c r="G43" s="78"/>
      <c r="H43" s="78"/>
    </row>
    <row r="44" spans="1:8" ht="12.75">
      <c r="A44" s="161"/>
      <c r="B44" s="166"/>
      <c r="C44" s="168"/>
      <c r="D44" s="162" t="s">
        <v>213</v>
      </c>
      <c r="E44" s="152"/>
      <c r="F44" s="218">
        <f>'ConvertedTB 2QTR'!O29</f>
        <v>14099.309999999998</v>
      </c>
      <c r="G44" s="78"/>
      <c r="H44" s="78"/>
    </row>
    <row r="45" spans="1:8" ht="12.75">
      <c r="A45" s="161"/>
      <c r="B45" s="166"/>
      <c r="C45" s="168"/>
      <c r="D45" s="162" t="s">
        <v>310</v>
      </c>
      <c r="E45" s="152"/>
      <c r="F45" s="218">
        <f>'ConvertedTB 2QTR'!O30</f>
        <v>0</v>
      </c>
      <c r="G45" s="78"/>
      <c r="H45" s="78"/>
    </row>
    <row r="46" spans="1:8" ht="12.75">
      <c r="A46" s="161"/>
      <c r="B46" s="166"/>
      <c r="C46" s="168"/>
      <c r="D46" s="162" t="s">
        <v>60</v>
      </c>
      <c r="E46" s="152"/>
      <c r="F46" s="218">
        <f>'ConvertedTB 2QTR'!O31</f>
        <v>0</v>
      </c>
      <c r="G46" s="78"/>
      <c r="H46" s="78"/>
    </row>
    <row r="47" spans="1:8" ht="12.75">
      <c r="A47" s="161"/>
      <c r="B47" s="166"/>
      <c r="C47" s="168"/>
      <c r="D47" s="152"/>
      <c r="E47" s="152"/>
      <c r="F47" s="89"/>
      <c r="G47" s="78"/>
      <c r="H47" s="78"/>
    </row>
    <row r="48" spans="1:8" ht="12.75">
      <c r="A48" s="161"/>
      <c r="B48" s="166"/>
      <c r="C48" s="168" t="s">
        <v>311</v>
      </c>
      <c r="D48" s="168"/>
      <c r="E48" s="152"/>
      <c r="F48" s="217">
        <f>+F49</f>
        <v>15395669.18</v>
      </c>
      <c r="G48" s="78"/>
      <c r="H48" s="78"/>
    </row>
    <row r="49" spans="1:8" ht="12.75">
      <c r="A49" s="161"/>
      <c r="B49" s="166"/>
      <c r="C49" s="168"/>
      <c r="D49" s="162" t="s">
        <v>52</v>
      </c>
      <c r="E49" s="152"/>
      <c r="F49" s="218">
        <f>'ConvertedTB 2QTR'!C32</f>
        <v>15395669.18</v>
      </c>
      <c r="G49" s="78"/>
      <c r="H49" s="78"/>
    </row>
    <row r="50" spans="1:8" ht="12.75">
      <c r="A50" s="161"/>
      <c r="B50" s="166"/>
      <c r="C50" s="162"/>
      <c r="D50" s="152"/>
      <c r="E50" s="152"/>
      <c r="F50" s="89"/>
      <c r="G50" s="78"/>
      <c r="H50" s="78"/>
    </row>
    <row r="51" spans="1:8" ht="12.75">
      <c r="A51" s="156"/>
      <c r="B51" s="151" t="s">
        <v>316</v>
      </c>
      <c r="C51" s="153"/>
      <c r="D51" s="153"/>
      <c r="E51" s="160"/>
      <c r="F51" s="219">
        <f>+F42+F26+F9+F21</f>
        <v>51242770.989999995</v>
      </c>
      <c r="G51" s="78"/>
      <c r="H51" s="78"/>
    </row>
    <row r="52" spans="1:8" ht="12.75">
      <c r="A52" s="161"/>
      <c r="B52" s="152"/>
      <c r="C52" s="162"/>
      <c r="D52" s="152"/>
      <c r="E52" s="152"/>
      <c r="F52" s="216"/>
      <c r="G52" s="78"/>
      <c r="H52" s="78"/>
    </row>
    <row r="53" spans="1:8" ht="12.75">
      <c r="A53" s="151" t="s">
        <v>317</v>
      </c>
      <c r="B53" s="278"/>
      <c r="C53" s="162"/>
      <c r="D53" s="152"/>
      <c r="E53" s="152"/>
      <c r="F53" s="89"/>
      <c r="G53" s="78"/>
      <c r="H53" s="78"/>
    </row>
    <row r="54" spans="1:6" ht="12.75">
      <c r="A54" s="156"/>
      <c r="B54" s="151" t="s">
        <v>86</v>
      </c>
      <c r="C54" s="151"/>
      <c r="D54" s="153"/>
      <c r="E54" s="160"/>
      <c r="F54" s="217">
        <f>+F58+F65+F70+F81+F87+F93+F96+F101</f>
        <v>3618687.86</v>
      </c>
    </row>
    <row r="55" spans="1:8" ht="12.75">
      <c r="A55" s="161"/>
      <c r="B55" s="171"/>
      <c r="C55" s="162" t="s">
        <v>12</v>
      </c>
      <c r="E55" s="152"/>
      <c r="F55" s="218">
        <f>'ConvertedTB 2QTR'!C33</f>
        <v>1208049.99</v>
      </c>
      <c r="G55" s="152"/>
      <c r="H55" s="167"/>
    </row>
    <row r="56" spans="1:8" ht="12.75">
      <c r="A56" s="161"/>
      <c r="B56" s="171"/>
      <c r="C56" s="168"/>
      <c r="D56" s="155" t="s">
        <v>320</v>
      </c>
      <c r="E56" s="152"/>
      <c r="F56" s="216">
        <f>-'ConvertedTB 2QTR'!D34</f>
        <v>-364327.7</v>
      </c>
      <c r="G56" s="152"/>
      <c r="H56" s="167"/>
    </row>
    <row r="57" spans="1:8" ht="12.75">
      <c r="A57" s="161"/>
      <c r="B57" s="171"/>
      <c r="C57" s="168"/>
      <c r="D57" s="182" t="s">
        <v>321</v>
      </c>
      <c r="E57" s="152"/>
      <c r="F57" s="216">
        <v>0</v>
      </c>
      <c r="G57" s="152"/>
      <c r="H57" s="167"/>
    </row>
    <row r="58" spans="1:8" ht="12.75">
      <c r="A58" s="161"/>
      <c r="B58" s="171"/>
      <c r="C58" s="168"/>
      <c r="D58" s="182" t="s">
        <v>319</v>
      </c>
      <c r="E58" s="152"/>
      <c r="F58" s="219">
        <f>SUM(F55:F57)</f>
        <v>843722.29</v>
      </c>
      <c r="G58" s="152"/>
      <c r="H58" s="167"/>
    </row>
    <row r="59" spans="1:8" ht="9.75" customHeight="1">
      <c r="A59" s="161"/>
      <c r="B59" s="171"/>
      <c r="C59" s="168"/>
      <c r="D59" s="182"/>
      <c r="E59" s="152"/>
      <c r="F59" s="219"/>
      <c r="G59" s="152"/>
      <c r="H59" s="167"/>
    </row>
    <row r="60" spans="1:8" ht="12.75">
      <c r="A60" s="161"/>
      <c r="B60" s="171"/>
      <c r="C60" s="162" t="s">
        <v>322</v>
      </c>
      <c r="E60" s="152"/>
      <c r="F60" s="219">
        <f>'ConvertedTB 2QTR'!C35</f>
        <v>718378</v>
      </c>
      <c r="G60" s="152"/>
      <c r="H60" s="167"/>
    </row>
    <row r="61" spans="1:8" ht="12.75">
      <c r="A61" s="161"/>
      <c r="B61" s="171"/>
      <c r="C61" s="168"/>
      <c r="D61" s="155" t="s">
        <v>323</v>
      </c>
      <c r="E61" s="152"/>
      <c r="F61" s="216">
        <f>-'ConvertedTB 2QTR'!D36</f>
        <v>-422310.89</v>
      </c>
      <c r="G61" s="152"/>
      <c r="H61" s="167"/>
    </row>
    <row r="62" spans="1:8" ht="12.75">
      <c r="A62" s="161"/>
      <c r="B62" s="171"/>
      <c r="C62" s="168"/>
      <c r="D62" s="184" t="s">
        <v>324</v>
      </c>
      <c r="E62" s="152"/>
      <c r="F62" s="216"/>
      <c r="G62" s="152"/>
      <c r="H62" s="167"/>
    </row>
    <row r="63" spans="1:8" ht="12.75">
      <c r="A63" s="161"/>
      <c r="B63" s="171"/>
      <c r="C63" s="168"/>
      <c r="D63" s="183" t="s">
        <v>325</v>
      </c>
      <c r="E63" s="152"/>
      <c r="F63" s="216"/>
      <c r="G63" s="152"/>
      <c r="H63" s="167"/>
    </row>
    <row r="64" spans="1:8" ht="12.75">
      <c r="A64" s="161"/>
      <c r="B64" s="171"/>
      <c r="C64" s="168"/>
      <c r="D64" s="184" t="s">
        <v>324</v>
      </c>
      <c r="E64" s="152"/>
      <c r="F64" s="216">
        <v>0</v>
      </c>
      <c r="G64" s="152"/>
      <c r="H64" s="167"/>
    </row>
    <row r="65" spans="1:8" ht="12.75">
      <c r="A65" s="161"/>
      <c r="B65" s="171"/>
      <c r="C65" s="168"/>
      <c r="D65" s="165" t="s">
        <v>319</v>
      </c>
      <c r="E65" s="152"/>
      <c r="F65" s="219">
        <f>SUM(F60:F64)</f>
        <v>296067.11</v>
      </c>
      <c r="G65" s="152"/>
      <c r="H65" s="167"/>
    </row>
    <row r="66" spans="1:8" ht="7.5" customHeight="1">
      <c r="A66" s="161"/>
      <c r="B66" s="171"/>
      <c r="C66" s="168"/>
      <c r="D66" s="165"/>
      <c r="E66" s="152"/>
      <c r="F66" s="216"/>
      <c r="G66" s="152"/>
      <c r="H66" s="167"/>
    </row>
    <row r="67" spans="1:8" ht="12.75">
      <c r="A67" s="161"/>
      <c r="B67" s="171"/>
      <c r="C67" s="162" t="s">
        <v>530</v>
      </c>
      <c r="E67" s="152"/>
      <c r="F67" s="218">
        <f>'ConvertedTB 2QTR'!C41</f>
        <v>40622</v>
      </c>
      <c r="G67" s="152"/>
      <c r="H67" s="167"/>
    </row>
    <row r="68" spans="1:8" ht="12.75">
      <c r="A68" s="161"/>
      <c r="B68" s="171"/>
      <c r="C68" s="168"/>
      <c r="D68" s="155" t="s">
        <v>603</v>
      </c>
      <c r="E68" s="152"/>
      <c r="F68" s="216">
        <f>-'ConvertedTB 2QTR'!D42</f>
        <v>-9647.73</v>
      </c>
      <c r="G68" s="152"/>
      <c r="H68" s="167"/>
    </row>
    <row r="69" spans="1:8" ht="25.5">
      <c r="A69" s="161"/>
      <c r="B69" s="171"/>
      <c r="C69" s="168"/>
      <c r="D69" s="182" t="s">
        <v>604</v>
      </c>
      <c r="E69" s="152"/>
      <c r="F69" s="216">
        <v>0</v>
      </c>
      <c r="G69" s="152"/>
      <c r="H69" s="167"/>
    </row>
    <row r="70" spans="1:8" ht="12.75">
      <c r="A70" s="161"/>
      <c r="B70" s="171"/>
      <c r="C70" s="168"/>
      <c r="D70" s="182" t="s">
        <v>319</v>
      </c>
      <c r="E70" s="152"/>
      <c r="F70" s="219">
        <f>SUM(F67:F69)</f>
        <v>30974.27</v>
      </c>
      <c r="G70" s="152"/>
      <c r="H70" s="167"/>
    </row>
    <row r="71" spans="1:8" ht="7.5" customHeight="1">
      <c r="A71" s="161"/>
      <c r="B71" s="171"/>
      <c r="C71" s="168"/>
      <c r="D71" s="182"/>
      <c r="E71" s="152"/>
      <c r="F71" s="216"/>
      <c r="G71" s="152"/>
      <c r="H71" s="167"/>
    </row>
    <row r="72" spans="1:8" ht="12.75">
      <c r="A72" s="161"/>
      <c r="B72" s="171"/>
      <c r="C72" s="168" t="s">
        <v>514</v>
      </c>
      <c r="D72" s="168"/>
      <c r="E72" s="152"/>
      <c r="F72" s="217"/>
      <c r="G72" s="152"/>
      <c r="H72" s="167"/>
    </row>
    <row r="73" spans="1:8" ht="12.75">
      <c r="A73" s="161"/>
      <c r="B73" s="171"/>
      <c r="C73" s="168"/>
      <c r="D73" s="168" t="s">
        <v>511</v>
      </c>
      <c r="E73" s="152"/>
      <c r="F73" s="218"/>
      <c r="G73" s="152"/>
      <c r="H73" s="167"/>
    </row>
    <row r="74" spans="1:8" ht="12.75">
      <c r="A74" s="161"/>
      <c r="B74" s="171"/>
      <c r="C74" s="168"/>
      <c r="D74" s="155" t="s">
        <v>512</v>
      </c>
      <c r="E74" s="152"/>
      <c r="F74" s="216"/>
      <c r="G74" s="152"/>
      <c r="H74" s="167"/>
    </row>
    <row r="75" spans="1:8" ht="25.5">
      <c r="A75" s="161"/>
      <c r="B75" s="171"/>
      <c r="C75" s="168"/>
      <c r="D75" s="182" t="s">
        <v>513</v>
      </c>
      <c r="E75" s="152"/>
      <c r="F75" s="216">
        <v>0</v>
      </c>
      <c r="G75" s="152"/>
      <c r="H75" s="167"/>
    </row>
    <row r="76" spans="1:8" ht="12.75">
      <c r="A76" s="161"/>
      <c r="B76" s="171"/>
      <c r="C76" s="168"/>
      <c r="D76" s="182" t="s">
        <v>319</v>
      </c>
      <c r="E76" s="152"/>
      <c r="F76" s="219">
        <f>SUM(F73:F75)</f>
        <v>0</v>
      </c>
      <c r="G76" s="152"/>
      <c r="H76" s="167"/>
    </row>
    <row r="77" spans="1:8" ht="6.75" customHeight="1">
      <c r="A77" s="161"/>
      <c r="B77" s="171"/>
      <c r="C77" s="168"/>
      <c r="D77" s="165"/>
      <c r="E77" s="152"/>
      <c r="F77" s="89"/>
      <c r="H77" s="3"/>
    </row>
    <row r="78" spans="1:8" ht="12.75">
      <c r="A78" s="161"/>
      <c r="B78" s="171"/>
      <c r="C78" s="168"/>
      <c r="D78" s="168" t="s">
        <v>128</v>
      </c>
      <c r="E78" s="152"/>
      <c r="F78" s="218">
        <f>'ConvertedTB 2QTR'!C43</f>
        <v>545970</v>
      </c>
      <c r="H78" s="3"/>
    </row>
    <row r="79" spans="1:8" ht="12.75">
      <c r="A79" s="161"/>
      <c r="B79" s="171"/>
      <c r="C79" s="168"/>
      <c r="D79" s="155" t="s">
        <v>515</v>
      </c>
      <c r="E79" s="152"/>
      <c r="F79" s="216">
        <f>-'ConvertedTB 2QTR'!D44</f>
        <v>-370243.56</v>
      </c>
      <c r="H79" s="3"/>
    </row>
    <row r="80" spans="1:8" ht="25.5">
      <c r="A80" s="161"/>
      <c r="B80" s="171"/>
      <c r="C80" s="168"/>
      <c r="D80" s="182" t="s">
        <v>516</v>
      </c>
      <c r="E80" s="152"/>
      <c r="F80" s="216">
        <v>0</v>
      </c>
      <c r="H80" s="3"/>
    </row>
    <row r="81" spans="1:8" ht="12.75">
      <c r="A81" s="161"/>
      <c r="B81" s="171"/>
      <c r="C81" s="168"/>
      <c r="D81" s="182" t="s">
        <v>319</v>
      </c>
      <c r="E81" s="152"/>
      <c r="F81" s="219">
        <f>SUM(F78:F80)</f>
        <v>175726.44</v>
      </c>
      <c r="H81" s="3"/>
    </row>
    <row r="82" spans="1:8" ht="6" customHeight="1">
      <c r="A82" s="161"/>
      <c r="B82" s="171"/>
      <c r="C82" s="168"/>
      <c r="D82" s="165"/>
      <c r="E82" s="152"/>
      <c r="F82" s="89"/>
      <c r="H82" s="3"/>
    </row>
    <row r="83" spans="1:8" ht="12.75">
      <c r="A83" s="161"/>
      <c r="B83" s="181"/>
      <c r="C83" s="168" t="s">
        <v>328</v>
      </c>
      <c r="D83" s="152"/>
      <c r="E83" s="152"/>
      <c r="F83" s="217">
        <f>+F87</f>
        <v>312634.3599999999</v>
      </c>
      <c r="H83" s="3"/>
    </row>
    <row r="84" spans="1:8" ht="12.75">
      <c r="A84" s="161"/>
      <c r="B84" s="181"/>
      <c r="C84" s="168"/>
      <c r="D84" s="162" t="s">
        <v>329</v>
      </c>
      <c r="E84" s="152"/>
      <c r="F84" s="218">
        <f>'ConvertedTB 2QTR'!C47</f>
        <v>631727.2</v>
      </c>
      <c r="H84" s="3"/>
    </row>
    <row r="85" spans="1:8" ht="12.75">
      <c r="A85" s="161"/>
      <c r="B85" s="181"/>
      <c r="C85" s="168"/>
      <c r="D85" s="179" t="s">
        <v>330</v>
      </c>
      <c r="E85" s="152"/>
      <c r="F85" s="216">
        <f>-'ConvertedTB 2QTR'!D48</f>
        <v>-319092.84</v>
      </c>
      <c r="H85" s="3"/>
    </row>
    <row r="86" spans="1:8" ht="12.75">
      <c r="A86" s="161"/>
      <c r="B86" s="181"/>
      <c r="C86" s="168"/>
      <c r="D86" s="155" t="s">
        <v>331</v>
      </c>
      <c r="E86" s="152"/>
      <c r="F86" s="216">
        <v>0</v>
      </c>
      <c r="H86" s="3"/>
    </row>
    <row r="87" spans="1:6" ht="12.75">
      <c r="A87" s="161"/>
      <c r="B87" s="181"/>
      <c r="C87" s="168"/>
      <c r="D87" s="155" t="s">
        <v>319</v>
      </c>
      <c r="E87" s="152"/>
      <c r="F87" s="219">
        <f>SUM(F84:F86)</f>
        <v>312634.3599999999</v>
      </c>
    </row>
    <row r="88" spans="1:6" ht="6.75" customHeight="1">
      <c r="A88" s="161"/>
      <c r="B88" s="166"/>
      <c r="C88" s="152"/>
      <c r="D88" s="155"/>
      <c r="E88" s="152"/>
      <c r="F88" s="220"/>
    </row>
    <row r="89" spans="1:6" ht="12.75">
      <c r="A89" s="161"/>
      <c r="B89" s="166"/>
      <c r="C89" s="163" t="s">
        <v>765</v>
      </c>
      <c r="D89" s="163"/>
      <c r="E89" s="152"/>
      <c r="F89" s="217">
        <f>F93</f>
        <v>1631800</v>
      </c>
    </row>
    <row r="90" spans="1:6" ht="12.75" customHeight="1">
      <c r="A90" s="161"/>
      <c r="B90" s="166"/>
      <c r="C90" s="163"/>
      <c r="D90" s="162" t="s">
        <v>765</v>
      </c>
      <c r="E90" s="152"/>
      <c r="F90" s="216">
        <f>'ConvertedTB 2QTR'!O45</f>
        <v>3340000</v>
      </c>
    </row>
    <row r="91" spans="1:6" ht="12.75">
      <c r="A91" s="161"/>
      <c r="B91" s="166"/>
      <c r="C91" s="163"/>
      <c r="D91" s="179" t="s">
        <v>755</v>
      </c>
      <c r="E91" s="152"/>
      <c r="F91" s="216">
        <f>-'ConvertedTB 2QTR'!P46</f>
        <v>-1708200</v>
      </c>
    </row>
    <row r="92" spans="1:6" ht="12.75">
      <c r="A92" s="161"/>
      <c r="B92" s="166"/>
      <c r="C92" s="163"/>
      <c r="D92" s="155" t="s">
        <v>715</v>
      </c>
      <c r="E92" s="152"/>
      <c r="F92" s="216"/>
    </row>
    <row r="93" spans="1:6" ht="12.75">
      <c r="A93" s="161"/>
      <c r="B93" s="166"/>
      <c r="C93" s="163"/>
      <c r="D93" s="155" t="s">
        <v>319</v>
      </c>
      <c r="E93" s="152"/>
      <c r="F93" s="219">
        <f>SUM(F90:F92)</f>
        <v>1631800</v>
      </c>
    </row>
    <row r="94" spans="1:6" ht="5.25" customHeight="1">
      <c r="A94" s="161"/>
      <c r="B94" s="166"/>
      <c r="C94" s="163"/>
      <c r="D94" s="155"/>
      <c r="E94" s="152"/>
      <c r="F94" s="216"/>
    </row>
    <row r="95" spans="1:6" ht="12.75">
      <c r="A95" s="161"/>
      <c r="B95" s="166"/>
      <c r="C95" s="163" t="s">
        <v>461</v>
      </c>
      <c r="D95" s="155"/>
      <c r="E95" s="152"/>
      <c r="F95" s="216"/>
    </row>
    <row r="96" spans="1:6" ht="12.75">
      <c r="A96" s="161"/>
      <c r="B96" s="166"/>
      <c r="C96" s="163"/>
      <c r="D96" s="155" t="s">
        <v>716</v>
      </c>
      <c r="E96" s="152"/>
      <c r="F96" s="216">
        <f>'ConvertedTB 2QTR'!O51</f>
        <v>0</v>
      </c>
    </row>
    <row r="97" spans="1:6" ht="5.25" customHeight="1">
      <c r="A97" s="161"/>
      <c r="B97" s="166"/>
      <c r="C97" s="168"/>
      <c r="D97" s="168"/>
      <c r="E97" s="152"/>
      <c r="F97" s="89"/>
    </row>
    <row r="98" spans="1:6" ht="12.75">
      <c r="A98" s="161"/>
      <c r="B98" s="166"/>
      <c r="C98" s="162" t="s">
        <v>15</v>
      </c>
      <c r="D98" s="152"/>
      <c r="E98" s="152"/>
      <c r="F98" s="217">
        <f>+F101</f>
        <v>327763.39</v>
      </c>
    </row>
    <row r="99" spans="1:6" ht="12.75">
      <c r="A99" s="161"/>
      <c r="B99" s="166"/>
      <c r="C99" s="152"/>
      <c r="D99" s="162" t="s">
        <v>15</v>
      </c>
      <c r="E99" s="152"/>
      <c r="F99" s="216">
        <f>ConvertedTB!O52</f>
        <v>327763.39</v>
      </c>
    </row>
    <row r="100" spans="1:6" ht="12.75">
      <c r="A100" s="161"/>
      <c r="B100" s="166"/>
      <c r="C100" s="152"/>
      <c r="D100" s="155" t="s">
        <v>336</v>
      </c>
      <c r="E100" s="152"/>
      <c r="F100" s="216">
        <v>0</v>
      </c>
    </row>
    <row r="101" spans="1:6" ht="12.75">
      <c r="A101" s="161"/>
      <c r="B101" s="166"/>
      <c r="C101" s="152"/>
      <c r="D101" s="155" t="s">
        <v>319</v>
      </c>
      <c r="E101" s="152"/>
      <c r="F101" s="219">
        <f>SUM(F99:F100)</f>
        <v>327763.39</v>
      </c>
    </row>
    <row r="102" spans="1:6" ht="12.75">
      <c r="A102" s="161"/>
      <c r="B102" s="166"/>
      <c r="C102" s="152"/>
      <c r="D102" s="155"/>
      <c r="E102" s="152"/>
      <c r="F102" s="216"/>
    </row>
    <row r="103" spans="1:6" ht="12.75">
      <c r="A103" s="156"/>
      <c r="B103" s="151" t="s">
        <v>337</v>
      </c>
      <c r="C103" s="153"/>
      <c r="D103" s="153"/>
      <c r="E103" s="160"/>
      <c r="F103" s="217">
        <f>+F54</f>
        <v>3618687.86</v>
      </c>
    </row>
    <row r="104" spans="1:6" ht="12.75">
      <c r="A104" s="161"/>
      <c r="B104" s="152"/>
      <c r="C104" s="162"/>
      <c r="D104" s="152"/>
      <c r="E104" s="152"/>
      <c r="F104" s="216"/>
    </row>
    <row r="105" spans="1:6" ht="12.75">
      <c r="A105" s="154" t="s">
        <v>87</v>
      </c>
      <c r="B105" s="151"/>
      <c r="C105" s="175"/>
      <c r="D105" s="175"/>
      <c r="E105" s="160"/>
      <c r="F105" s="234">
        <f>+F51+F103</f>
        <v>54861458.849999994</v>
      </c>
    </row>
    <row r="106" spans="1:6" ht="12.75">
      <c r="A106" s="157"/>
      <c r="B106" s="160"/>
      <c r="C106" s="180"/>
      <c r="D106" s="180"/>
      <c r="E106" s="152"/>
      <c r="F106" s="152"/>
    </row>
    <row r="107" spans="1:6" ht="12.75">
      <c r="A107" s="154" t="s">
        <v>338</v>
      </c>
      <c r="B107" s="160"/>
      <c r="C107" s="175"/>
      <c r="D107" s="175"/>
      <c r="E107" s="160"/>
      <c r="F107" s="160"/>
    </row>
    <row r="108" spans="1:6" ht="12.75">
      <c r="A108" s="152"/>
      <c r="B108" s="160"/>
      <c r="C108" s="180"/>
      <c r="D108" s="180"/>
      <c r="E108" s="152"/>
      <c r="F108" s="152"/>
    </row>
    <row r="109" spans="1:6" ht="12.75">
      <c r="A109" s="554" t="s">
        <v>88</v>
      </c>
      <c r="B109" s="554"/>
      <c r="C109" s="554"/>
      <c r="D109" s="554"/>
      <c r="E109" s="152"/>
      <c r="F109" s="152"/>
    </row>
    <row r="110" spans="1:6" ht="12.75">
      <c r="A110" s="151"/>
      <c r="B110" s="151" t="s">
        <v>89</v>
      </c>
      <c r="C110" s="151"/>
      <c r="D110" s="151"/>
      <c r="E110" s="152"/>
      <c r="F110" s="152"/>
    </row>
    <row r="111" spans="1:6" ht="12.75">
      <c r="A111" s="156"/>
      <c r="B111" s="151" t="s">
        <v>339</v>
      </c>
      <c r="C111" s="151"/>
      <c r="D111" s="151"/>
      <c r="E111" s="160"/>
      <c r="F111" s="217">
        <f>+F112</f>
        <v>35250</v>
      </c>
    </row>
    <row r="112" spans="1:6" ht="12.75">
      <c r="A112" s="161"/>
      <c r="B112" s="166"/>
      <c r="C112" s="162" t="s">
        <v>340</v>
      </c>
      <c r="D112" s="155"/>
      <c r="E112" s="152"/>
      <c r="F112" s="217">
        <f>+F113</f>
        <v>35250</v>
      </c>
    </row>
    <row r="113" spans="1:6" ht="12.75">
      <c r="A113" s="161"/>
      <c r="B113" s="166"/>
      <c r="C113" s="162"/>
      <c r="D113" s="162" t="s">
        <v>31</v>
      </c>
      <c r="E113" s="152"/>
      <c r="F113" s="218">
        <f>'ConvertedTB 2QTR'!P55</f>
        <v>35250</v>
      </c>
    </row>
    <row r="114" spans="1:6" ht="12.75">
      <c r="A114" s="161"/>
      <c r="B114" s="166"/>
      <c r="C114" s="162"/>
      <c r="D114" s="152"/>
      <c r="E114" s="152"/>
      <c r="F114" s="89"/>
    </row>
    <row r="115" spans="1:6" ht="12.75">
      <c r="A115" s="156"/>
      <c r="B115" s="151" t="s">
        <v>341</v>
      </c>
      <c r="C115" s="153"/>
      <c r="D115" s="151"/>
      <c r="E115" s="160"/>
      <c r="F115" s="217">
        <f>+F116+F117+F118+F119+F122+F123+F120+F121</f>
        <v>883058.4000000003</v>
      </c>
    </row>
    <row r="116" spans="1:6" ht="12.75">
      <c r="A116" s="161"/>
      <c r="B116" s="166"/>
      <c r="C116" s="152"/>
      <c r="D116" s="162" t="s">
        <v>46</v>
      </c>
      <c r="E116" s="152"/>
      <c r="F116" s="218">
        <f>'ConvertedTB 2QTR'!P56</f>
        <v>275339.65</v>
      </c>
    </row>
    <row r="117" spans="1:6" ht="12.75">
      <c r="A117" s="161"/>
      <c r="B117" s="166"/>
      <c r="C117" s="152"/>
      <c r="D117" s="475" t="s">
        <v>685</v>
      </c>
      <c r="E117" s="152"/>
      <c r="F117" s="218">
        <f>'ConvertedTB 2QTR'!P57</f>
        <v>553767.2700000003</v>
      </c>
    </row>
    <row r="118" spans="1:6" ht="12.75">
      <c r="A118" s="161"/>
      <c r="B118" s="166"/>
      <c r="C118" s="152"/>
      <c r="D118" s="475" t="s">
        <v>686</v>
      </c>
      <c r="E118" s="152"/>
      <c r="F118" s="218">
        <f>'ConvertedTB 2QTR'!P58</f>
        <v>10448.25999999998</v>
      </c>
    </row>
    <row r="119" spans="1:6" ht="12.75">
      <c r="A119" s="161"/>
      <c r="B119" s="166"/>
      <c r="C119" s="152"/>
      <c r="D119" s="475" t="s">
        <v>687</v>
      </c>
      <c r="E119" s="152"/>
      <c r="F119" s="218">
        <f>'ConvertedTB 2QTR'!P59</f>
        <v>11777.859999999997</v>
      </c>
    </row>
    <row r="120" spans="1:6" ht="12.75">
      <c r="A120" s="161"/>
      <c r="B120" s="166"/>
      <c r="C120" s="152"/>
      <c r="D120" s="474" t="s">
        <v>690</v>
      </c>
      <c r="E120" s="152"/>
      <c r="F120" s="218">
        <f>'ConvertedTB 2QTR'!P60</f>
        <v>5526.359999999999</v>
      </c>
    </row>
    <row r="121" spans="1:6" ht="12.75">
      <c r="A121" s="161"/>
      <c r="B121" s="166"/>
      <c r="C121" s="152"/>
      <c r="D121" s="474" t="s">
        <v>691</v>
      </c>
      <c r="E121" s="152"/>
      <c r="F121" s="218">
        <f>'ConvertedTB 2QTR'!P61:P61</f>
        <v>2084.67</v>
      </c>
    </row>
    <row r="122" spans="1:6" ht="12.75">
      <c r="A122" s="161"/>
      <c r="B122" s="166"/>
      <c r="C122" s="152"/>
      <c r="D122" s="162" t="s">
        <v>343</v>
      </c>
      <c r="E122" s="152"/>
      <c r="F122" s="218">
        <f>'ConvertedTB 2QTR'!P62</f>
        <v>15714.96000000001</v>
      </c>
    </row>
    <row r="123" spans="1:6" ht="12.75">
      <c r="A123" s="161"/>
      <c r="B123" s="166"/>
      <c r="C123" s="152"/>
      <c r="D123" s="162" t="s">
        <v>59</v>
      </c>
      <c r="E123" s="152"/>
      <c r="F123" s="218">
        <f>'ConvertedTB 2QTR'!P63</f>
        <v>8399.370000000023</v>
      </c>
    </row>
    <row r="124" spans="1:6" ht="12.75">
      <c r="A124" s="161"/>
      <c r="B124" s="166"/>
      <c r="C124" s="152"/>
      <c r="D124" s="152"/>
      <c r="E124" s="152"/>
      <c r="F124" s="89"/>
    </row>
    <row r="125" spans="1:6" ht="12.75">
      <c r="A125" s="156"/>
      <c r="B125" s="151" t="s">
        <v>17</v>
      </c>
      <c r="C125" s="175"/>
      <c r="D125" s="153"/>
      <c r="E125" s="160"/>
      <c r="F125" s="217">
        <f>+F126</f>
        <v>0</v>
      </c>
    </row>
    <row r="126" spans="1:6" ht="12.75">
      <c r="A126" s="161"/>
      <c r="B126" s="162"/>
      <c r="C126" s="163" t="s">
        <v>17</v>
      </c>
      <c r="D126" s="152"/>
      <c r="E126" s="152"/>
      <c r="F126" s="217">
        <f>'ConvertedTB 2QTR'!D64</f>
        <v>0</v>
      </c>
    </row>
    <row r="127" spans="1:6" ht="12.75">
      <c r="A127" s="161"/>
      <c r="B127" s="162"/>
      <c r="C127" s="152"/>
      <c r="D127" s="152"/>
      <c r="E127" s="152"/>
      <c r="F127" s="216"/>
    </row>
    <row r="128" spans="1:6" ht="12.75">
      <c r="A128" s="161"/>
      <c r="B128" s="151" t="s">
        <v>347</v>
      </c>
      <c r="C128" s="152"/>
      <c r="D128" s="163"/>
      <c r="E128" s="152"/>
      <c r="F128" s="217">
        <f>+F111+F115+F125</f>
        <v>918308.4000000003</v>
      </c>
    </row>
    <row r="129" spans="1:6" ht="12.75">
      <c r="A129" s="161"/>
      <c r="B129" s="163"/>
      <c r="C129" s="152"/>
      <c r="D129" s="163"/>
      <c r="E129" s="152"/>
      <c r="F129" s="89"/>
    </row>
    <row r="130" spans="1:6" ht="12.75">
      <c r="A130" s="156"/>
      <c r="B130" s="153" t="s">
        <v>348</v>
      </c>
      <c r="C130" s="160"/>
      <c r="D130" s="151"/>
      <c r="E130" s="160"/>
      <c r="F130" s="217">
        <f>+F128</f>
        <v>918308.4000000003</v>
      </c>
    </row>
    <row r="131" spans="1:6" ht="12.75">
      <c r="A131" s="161"/>
      <c r="B131" s="162"/>
      <c r="C131" s="174"/>
      <c r="D131" s="163"/>
      <c r="E131" s="152"/>
      <c r="F131" s="89"/>
    </row>
    <row r="132" spans="1:6" ht="13.5" thickBot="1">
      <c r="A132" s="178" t="s">
        <v>349</v>
      </c>
      <c r="B132" s="153"/>
      <c r="C132" s="174"/>
      <c r="D132" s="163"/>
      <c r="E132" s="152"/>
      <c r="F132" s="232">
        <f>+F105-F130</f>
        <v>53943150.449999996</v>
      </c>
    </row>
    <row r="133" spans="1:6" ht="13.5" thickTop="1">
      <c r="A133" s="161"/>
      <c r="B133" s="162"/>
      <c r="C133" s="174"/>
      <c r="D133" s="163"/>
      <c r="E133" s="152"/>
      <c r="F133" s="152"/>
    </row>
    <row r="134" spans="1:6" ht="12.75">
      <c r="A134" s="154" t="s">
        <v>350</v>
      </c>
      <c r="B134" s="152"/>
      <c r="C134" s="158"/>
      <c r="D134" s="158"/>
      <c r="E134" s="152"/>
      <c r="F134" s="152"/>
    </row>
    <row r="135" spans="1:6" ht="12.75">
      <c r="A135" s="152"/>
      <c r="B135" s="151" t="s">
        <v>90</v>
      </c>
      <c r="C135" s="158"/>
      <c r="D135" s="158"/>
      <c r="E135" s="152"/>
      <c r="F135" s="152"/>
    </row>
    <row r="136" spans="1:6" ht="12.75">
      <c r="A136" s="156"/>
      <c r="B136" s="153"/>
      <c r="C136" s="151" t="s">
        <v>18</v>
      </c>
      <c r="D136" s="151"/>
      <c r="E136" s="160"/>
      <c r="F136" s="217">
        <f>+F137</f>
        <v>94857590.75</v>
      </c>
    </row>
    <row r="137" spans="1:6" ht="12.75">
      <c r="A137" s="161"/>
      <c r="B137" s="163"/>
      <c r="C137" s="152"/>
      <c r="D137" s="163" t="s">
        <v>351</v>
      </c>
      <c r="E137" s="152"/>
      <c r="F137" s="218">
        <f>'ConvertedTB 2QTR'!P67</f>
        <v>94857590.75</v>
      </c>
    </row>
    <row r="138" spans="1:6" ht="12.75">
      <c r="A138" s="156"/>
      <c r="B138" s="153"/>
      <c r="C138" s="151" t="s">
        <v>352</v>
      </c>
      <c r="D138" s="151"/>
      <c r="E138" s="160"/>
      <c r="F138" s="217">
        <f>+F139</f>
        <v>0</v>
      </c>
    </row>
    <row r="139" spans="1:6" ht="12.75">
      <c r="A139" s="161"/>
      <c r="B139" s="163"/>
      <c r="C139" s="152"/>
      <c r="D139" s="163" t="s">
        <v>353</v>
      </c>
      <c r="E139" s="152"/>
      <c r="F139" s="218">
        <v>0</v>
      </c>
    </row>
    <row r="140" spans="1:6" ht="12.75">
      <c r="A140" s="161"/>
      <c r="B140" s="163"/>
      <c r="C140" s="152"/>
      <c r="D140" s="163"/>
      <c r="E140" s="152"/>
      <c r="F140" s="89"/>
    </row>
    <row r="141" spans="1:6" ht="13.5" thickBot="1">
      <c r="A141" s="153" t="s">
        <v>354</v>
      </c>
      <c r="B141" s="152"/>
      <c r="C141" s="174"/>
      <c r="D141" s="163"/>
      <c r="E141" s="152"/>
      <c r="F141" s="232">
        <f>F137</f>
        <v>94857590.75</v>
      </c>
    </row>
    <row r="142" spans="1:6" ht="13.5" thickTop="1">
      <c r="A142" s="161"/>
      <c r="B142" s="153"/>
      <c r="C142" s="174"/>
      <c r="D142" s="163"/>
      <c r="E142" s="152"/>
      <c r="F142" s="529">
        <f>F132-F141</f>
        <v>-40914440.300000004</v>
      </c>
    </row>
    <row r="145" spans="1:5" ht="12.75">
      <c r="A145" s="16" t="s">
        <v>25</v>
      </c>
      <c r="B145" s="77"/>
      <c r="E145" s="1" t="s">
        <v>55</v>
      </c>
    </row>
    <row r="146" spans="1:5" ht="12.75">
      <c r="A146" s="16"/>
      <c r="B146" s="77"/>
      <c r="C146" s="99"/>
      <c r="E146" s="99"/>
    </row>
    <row r="147" spans="1:5" ht="12.75">
      <c r="A147" s="16"/>
      <c r="B147" s="77"/>
      <c r="C147" s="100"/>
      <c r="E147" s="100"/>
    </row>
    <row r="148" spans="1:5" ht="12.75">
      <c r="A148" s="17" t="s">
        <v>658</v>
      </c>
      <c r="B148" s="77"/>
      <c r="C148" s="20"/>
      <c r="E148" s="20" t="s">
        <v>712</v>
      </c>
    </row>
    <row r="149" spans="1:5" ht="12.75">
      <c r="A149" s="16" t="s">
        <v>210</v>
      </c>
      <c r="B149" s="77"/>
      <c r="E149" s="1" t="s">
        <v>224</v>
      </c>
    </row>
  </sheetData>
  <sheetProtection/>
  <mergeCells count="5">
    <mergeCell ref="A109:D109"/>
    <mergeCell ref="A1:F1"/>
    <mergeCell ref="A2:F2"/>
    <mergeCell ref="A3:F3"/>
    <mergeCell ref="A4:F4"/>
  </mergeCells>
  <printOptions/>
  <pageMargins left="0.79" right="0.25" top="0.75" bottom="0.75" header="0.3" footer="0.3"/>
  <pageSetup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65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4.140625" style="1" customWidth="1"/>
    <col min="4" max="4" width="16.421875" style="1" bestFit="1" customWidth="1"/>
    <col min="5" max="5" width="1.7109375" style="1" customWidth="1"/>
    <col min="6" max="6" width="19.7109375" style="89" customWidth="1"/>
    <col min="7" max="7" width="11.28125" style="1" bestFit="1" customWidth="1"/>
    <col min="8" max="16384" width="9.140625" style="1" customWidth="1"/>
  </cols>
  <sheetData>
    <row r="1" spans="1:6" ht="15">
      <c r="A1" s="555" t="s">
        <v>1</v>
      </c>
      <c r="B1" s="555"/>
      <c r="C1" s="555"/>
      <c r="D1" s="555"/>
      <c r="E1" s="555"/>
      <c r="F1" s="555"/>
    </row>
    <row r="2" spans="1:6" ht="12.75">
      <c r="A2" s="551" t="s">
        <v>94</v>
      </c>
      <c r="B2" s="551"/>
      <c r="C2" s="551"/>
      <c r="D2" s="551"/>
      <c r="E2" s="551"/>
      <c r="F2" s="551"/>
    </row>
    <row r="3" spans="1:6" ht="12.75">
      <c r="A3" s="552" t="s">
        <v>215</v>
      </c>
      <c r="B3" s="552"/>
      <c r="C3" s="552"/>
      <c r="D3" s="552"/>
      <c r="E3" s="552"/>
      <c r="F3" s="552"/>
    </row>
    <row r="4" spans="1:6" ht="12.75">
      <c r="A4" s="552" t="str">
        <f>'DetSFP 2nd Qtr'!A4:H4</f>
        <v>As of June 30, 2020</v>
      </c>
      <c r="B4" s="552"/>
      <c r="C4" s="552"/>
      <c r="D4" s="552"/>
      <c r="E4" s="552"/>
      <c r="F4" s="552"/>
    </row>
    <row r="7" spans="1:6" ht="12.75">
      <c r="A7" s="551" t="s">
        <v>9</v>
      </c>
      <c r="B7" s="551"/>
      <c r="C7" s="551"/>
      <c r="D7" s="551"/>
      <c r="E7" s="551"/>
      <c r="F7" s="551"/>
    </row>
    <row r="8" spans="4:7" ht="12.75">
      <c r="D8" s="78"/>
      <c r="E8" s="78"/>
      <c r="G8" s="78"/>
    </row>
    <row r="9" spans="1:7" ht="12.75">
      <c r="A9" s="154" t="s">
        <v>9</v>
      </c>
      <c r="B9" s="152"/>
      <c r="C9" s="151"/>
      <c r="D9" s="160"/>
      <c r="E9" s="160"/>
      <c r="F9" s="218"/>
      <c r="G9" s="78"/>
    </row>
    <row r="10" spans="1:7" ht="12.75">
      <c r="A10" s="152"/>
      <c r="B10" s="151" t="s">
        <v>83</v>
      </c>
      <c r="C10" s="151"/>
      <c r="D10" s="160"/>
      <c r="E10" s="160"/>
      <c r="F10" s="218"/>
      <c r="G10" s="78"/>
    </row>
    <row r="11" spans="1:7" ht="12.75">
      <c r="A11" s="159"/>
      <c r="B11" s="188" t="s">
        <v>296</v>
      </c>
      <c r="C11" s="152"/>
      <c r="D11" s="152"/>
      <c r="E11" s="174"/>
      <c r="F11" s="218">
        <f>'DetSFP 2nd Qtr'!F9</f>
        <v>12997516.209999993</v>
      </c>
      <c r="G11" s="78"/>
    </row>
    <row r="12" spans="1:7" ht="12.75" customHeight="1" hidden="1">
      <c r="A12" s="159"/>
      <c r="B12" s="190" t="s">
        <v>302</v>
      </c>
      <c r="C12" s="170"/>
      <c r="D12" s="170"/>
      <c r="E12" s="174"/>
      <c r="F12" s="218"/>
      <c r="G12" s="78"/>
    </row>
    <row r="13" spans="1:7" ht="12.75">
      <c r="A13" s="185"/>
      <c r="B13" s="189" t="s">
        <v>84</v>
      </c>
      <c r="C13" s="152"/>
      <c r="D13" s="163"/>
      <c r="E13" s="174"/>
      <c r="F13" s="216">
        <v>0</v>
      </c>
      <c r="G13" s="78"/>
    </row>
    <row r="14" spans="1:7" ht="12.75">
      <c r="A14" s="156"/>
      <c r="B14" s="188" t="s">
        <v>85</v>
      </c>
      <c r="C14" s="152"/>
      <c r="D14" s="163"/>
      <c r="E14" s="174"/>
      <c r="F14" s="218">
        <f>'DetSFP 2nd Qtr'!F26</f>
        <v>599500</v>
      </c>
      <c r="G14" s="78"/>
    </row>
    <row r="15" spans="1:7" ht="12.75">
      <c r="A15" s="159"/>
      <c r="B15" s="190" t="s">
        <v>308</v>
      </c>
      <c r="C15" s="170"/>
      <c r="D15" s="170"/>
      <c r="E15" s="174"/>
      <c r="F15" s="218">
        <f>'DetSFP 2nd Qtr'!F42</f>
        <v>15409768.49</v>
      </c>
      <c r="G15" s="78"/>
    </row>
    <row r="16" spans="1:7" ht="12.75">
      <c r="A16" s="161"/>
      <c r="B16" s="191" t="s">
        <v>316</v>
      </c>
      <c r="C16" s="162"/>
      <c r="D16" s="152"/>
      <c r="E16" s="152"/>
      <c r="F16" s="219">
        <f>SUM(F11:F15)</f>
        <v>29006784.699999996</v>
      </c>
      <c r="G16" s="78"/>
    </row>
    <row r="17" spans="1:7" ht="12.75">
      <c r="A17" s="161"/>
      <c r="B17" s="166"/>
      <c r="C17" s="162"/>
      <c r="D17" s="152"/>
      <c r="E17" s="152"/>
      <c r="G17" s="78"/>
    </row>
    <row r="18" spans="1:7" ht="14.25" customHeight="1">
      <c r="A18" s="162"/>
      <c r="B18" s="151" t="s">
        <v>317</v>
      </c>
      <c r="C18" s="162"/>
      <c r="D18" s="152"/>
      <c r="E18" s="152"/>
      <c r="G18" s="78"/>
    </row>
    <row r="19" spans="1:7" ht="12.75">
      <c r="A19" s="159"/>
      <c r="B19" s="190" t="s">
        <v>302</v>
      </c>
      <c r="C19" s="170"/>
      <c r="D19" s="170"/>
      <c r="E19" s="174"/>
      <c r="F19" s="218">
        <v>0</v>
      </c>
      <c r="G19" s="78"/>
    </row>
    <row r="20" spans="1:7" ht="12.75">
      <c r="A20" s="156"/>
      <c r="B20" s="192" t="s">
        <v>318</v>
      </c>
      <c r="C20" s="152"/>
      <c r="D20" s="163"/>
      <c r="E20" s="174"/>
      <c r="F20" s="218">
        <v>0</v>
      </c>
      <c r="G20" s="78"/>
    </row>
    <row r="21" spans="1:7" ht="12.75">
      <c r="A21" s="156"/>
      <c r="B21" s="192" t="s">
        <v>86</v>
      </c>
      <c r="C21" s="152"/>
      <c r="D21" s="152"/>
      <c r="E21" s="174"/>
      <c r="F21" s="218">
        <f>'DetSFP 2nd Qtr'!F54</f>
        <v>3618687.86</v>
      </c>
      <c r="G21" s="78"/>
    </row>
    <row r="22" spans="1:7" ht="12.75">
      <c r="A22" s="156"/>
      <c r="B22" s="192" t="s">
        <v>333</v>
      </c>
      <c r="C22" s="186"/>
      <c r="D22" s="186"/>
      <c r="E22" s="174"/>
      <c r="F22" s="218">
        <v>0</v>
      </c>
      <c r="G22" s="78"/>
    </row>
    <row r="23" spans="1:7" ht="12.75">
      <c r="A23" s="156"/>
      <c r="B23" s="192" t="s">
        <v>334</v>
      </c>
      <c r="C23" s="186"/>
      <c r="D23" s="186"/>
      <c r="E23" s="174"/>
      <c r="F23" s="218">
        <v>0</v>
      </c>
      <c r="G23" s="78"/>
    </row>
    <row r="24" spans="1:7" ht="12.75">
      <c r="A24" s="156"/>
      <c r="B24" s="192" t="s">
        <v>335</v>
      </c>
      <c r="C24" s="152"/>
      <c r="D24" s="163"/>
      <c r="E24" s="174"/>
      <c r="F24" s="218">
        <v>0</v>
      </c>
      <c r="G24" s="78"/>
    </row>
    <row r="25" spans="1:7" ht="12.75">
      <c r="A25" s="157"/>
      <c r="B25" s="191" t="s">
        <v>337</v>
      </c>
      <c r="C25" s="180"/>
      <c r="D25" s="180"/>
      <c r="E25" s="166"/>
      <c r="F25" s="219">
        <f>SUM(F19:F24)</f>
        <v>3618687.86</v>
      </c>
      <c r="G25" s="78"/>
    </row>
    <row r="26" spans="1:7" ht="12.75">
      <c r="A26" s="157"/>
      <c r="B26" s="152"/>
      <c r="C26" s="180"/>
      <c r="D26" s="180"/>
      <c r="E26" s="166"/>
      <c r="F26" s="216"/>
      <c r="G26" s="78"/>
    </row>
    <row r="27" spans="1:7" ht="12.75">
      <c r="A27" s="157"/>
      <c r="B27" s="193" t="s">
        <v>356</v>
      </c>
      <c r="C27" s="175"/>
      <c r="D27" s="175"/>
      <c r="E27" s="187"/>
      <c r="F27" s="221">
        <f>+F16+F25</f>
        <v>32625472.559999995</v>
      </c>
      <c r="G27" s="78"/>
    </row>
    <row r="28" spans="1:7" ht="12.75">
      <c r="A28" s="157"/>
      <c r="B28" s="160"/>
      <c r="C28" s="180"/>
      <c r="D28" s="180"/>
      <c r="E28" s="166"/>
      <c r="G28" s="78"/>
    </row>
    <row r="29" spans="1:7" ht="12.75">
      <c r="A29" s="554" t="s">
        <v>16</v>
      </c>
      <c r="B29" s="554"/>
      <c r="C29" s="554"/>
      <c r="D29" s="554"/>
      <c r="E29" s="160"/>
      <c r="G29" s="78"/>
    </row>
    <row r="30" spans="1:7" ht="12.75">
      <c r="A30" s="151"/>
      <c r="B30" s="151" t="s">
        <v>89</v>
      </c>
      <c r="C30" s="151"/>
      <c r="D30" s="151"/>
      <c r="E30" s="160"/>
      <c r="G30" s="78"/>
    </row>
    <row r="31" spans="1:7" ht="12.75">
      <c r="A31" s="161"/>
      <c r="B31" s="192" t="s">
        <v>339</v>
      </c>
      <c r="C31" s="152"/>
      <c r="D31" s="163"/>
      <c r="E31" s="174"/>
      <c r="F31" s="218">
        <f>'DetSFP 2nd Qtr'!F112</f>
        <v>35250</v>
      </c>
      <c r="G31" s="78"/>
    </row>
    <row r="32" spans="1:7" ht="12.75">
      <c r="A32" s="161"/>
      <c r="B32" s="192" t="s">
        <v>341</v>
      </c>
      <c r="C32" s="152"/>
      <c r="D32" s="163"/>
      <c r="E32" s="174"/>
      <c r="F32" s="218">
        <f>'DetSFP 2nd Qtr'!F115</f>
        <v>883058.4000000003</v>
      </c>
      <c r="G32" s="78"/>
    </row>
    <row r="33" spans="1:8" ht="12.75">
      <c r="A33" s="161"/>
      <c r="B33" s="192" t="s">
        <v>344</v>
      </c>
      <c r="C33" s="152"/>
      <c r="D33" s="163"/>
      <c r="E33" s="174"/>
      <c r="F33" s="218"/>
      <c r="G33" s="3"/>
      <c r="H33" s="3"/>
    </row>
    <row r="34" spans="1:8" ht="12.75">
      <c r="A34" s="161"/>
      <c r="B34" s="192" t="s">
        <v>345</v>
      </c>
      <c r="C34" s="152"/>
      <c r="D34" s="163"/>
      <c r="E34" s="174"/>
      <c r="F34" s="218"/>
      <c r="G34" s="3"/>
      <c r="H34" s="3"/>
    </row>
    <row r="35" spans="1:8" ht="12.75">
      <c r="A35" s="161"/>
      <c r="B35" s="192" t="s">
        <v>346</v>
      </c>
      <c r="C35" s="152"/>
      <c r="D35" s="163"/>
      <c r="E35" s="174"/>
      <c r="F35" s="218"/>
      <c r="G35" s="3"/>
      <c r="H35" s="3"/>
    </row>
    <row r="36" spans="1:8" ht="12.75">
      <c r="A36" s="161"/>
      <c r="B36" s="192" t="s">
        <v>17</v>
      </c>
      <c r="C36" s="152"/>
      <c r="D36" s="163"/>
      <c r="E36" s="174"/>
      <c r="F36" s="217">
        <f>'DetSFP 2nd Qtr'!F126</f>
        <v>0</v>
      </c>
      <c r="G36" s="3"/>
      <c r="H36" s="3"/>
    </row>
    <row r="37" spans="1:8" ht="12.75">
      <c r="A37" s="161"/>
      <c r="B37" s="192"/>
      <c r="C37" s="152"/>
      <c r="D37" s="163"/>
      <c r="E37" s="152"/>
      <c r="G37" s="3"/>
      <c r="H37" s="3"/>
    </row>
    <row r="38" spans="1:7" ht="12.75">
      <c r="A38" s="161"/>
      <c r="B38" s="191" t="s">
        <v>347</v>
      </c>
      <c r="C38" s="152"/>
      <c r="D38" s="163"/>
      <c r="E38" s="152"/>
      <c r="F38" s="234">
        <f>SUM(F31:F37)</f>
        <v>918308.4000000003</v>
      </c>
      <c r="G38" s="78"/>
    </row>
    <row r="39" spans="1:7" ht="12.75">
      <c r="A39" s="161"/>
      <c r="B39" s="152"/>
      <c r="C39" s="152"/>
      <c r="D39" s="163"/>
      <c r="E39" s="152"/>
      <c r="F39" s="216"/>
      <c r="G39" s="78"/>
    </row>
    <row r="40" spans="1:7" ht="12.75">
      <c r="A40" s="161"/>
      <c r="B40" s="153" t="s">
        <v>348</v>
      </c>
      <c r="C40" s="174"/>
      <c r="D40" s="163"/>
      <c r="E40" s="152"/>
      <c r="F40" s="221">
        <f>+F38</f>
        <v>918308.4000000003</v>
      </c>
      <c r="G40" s="78"/>
    </row>
    <row r="41" spans="1:7" ht="12.75">
      <c r="A41" s="161"/>
      <c r="B41" s="153"/>
      <c r="C41" s="174"/>
      <c r="D41" s="163"/>
      <c r="E41" s="152"/>
      <c r="F41" s="235"/>
      <c r="G41" s="78"/>
    </row>
    <row r="42" spans="1:7" ht="13.5" thickBot="1">
      <c r="A42" s="178" t="s">
        <v>349</v>
      </c>
      <c r="B42" s="153"/>
      <c r="C42" s="174"/>
      <c r="D42" s="163"/>
      <c r="E42" s="152"/>
      <c r="F42" s="235">
        <f>+F27-F40</f>
        <v>31707164.159999996</v>
      </c>
      <c r="G42" s="78"/>
    </row>
    <row r="43" spans="1:7" ht="13.5" thickTop="1">
      <c r="A43" s="161"/>
      <c r="B43" s="162"/>
      <c r="C43" s="174"/>
      <c r="D43" s="163"/>
      <c r="E43" s="152"/>
      <c r="F43" s="233"/>
      <c r="G43" s="78"/>
    </row>
    <row r="44" spans="1:7" ht="12.75">
      <c r="A44" s="151" t="s">
        <v>357</v>
      </c>
      <c r="B44" s="162"/>
      <c r="C44" s="158"/>
      <c r="D44" s="158"/>
      <c r="E44" s="160"/>
      <c r="G44" s="78"/>
    </row>
    <row r="45" spans="1:7" ht="12.75">
      <c r="A45" s="161"/>
      <c r="B45" s="192" t="s">
        <v>351</v>
      </c>
      <c r="C45" s="152"/>
      <c r="D45" s="163"/>
      <c r="E45" s="152"/>
      <c r="F45" s="218">
        <f>'DetSFP 2nd Qtr'!F137</f>
        <v>94857590.75</v>
      </c>
      <c r="G45" s="78"/>
    </row>
    <row r="46" spans="1:7" ht="12.75">
      <c r="A46" s="161"/>
      <c r="B46" s="192" t="s">
        <v>353</v>
      </c>
      <c r="C46" s="152"/>
      <c r="D46" s="163"/>
      <c r="E46" s="152"/>
      <c r="F46" s="218">
        <v>0</v>
      </c>
      <c r="G46" s="78"/>
    </row>
    <row r="47" spans="1:7" ht="13.5" thickBot="1">
      <c r="A47" s="161"/>
      <c r="B47" s="191" t="s">
        <v>354</v>
      </c>
      <c r="C47" s="174"/>
      <c r="D47" s="163"/>
      <c r="E47" s="152"/>
      <c r="F47" s="236">
        <f>+F45+F46</f>
        <v>94857590.75</v>
      </c>
      <c r="G47" s="78"/>
    </row>
    <row r="48" spans="4:7" ht="13.5" thickTop="1">
      <c r="D48" s="78"/>
      <c r="E48" s="78"/>
      <c r="G48" s="78"/>
    </row>
    <row r="49" spans="4:7" ht="12.75">
      <c r="D49" s="78"/>
      <c r="E49" s="78"/>
      <c r="G49" s="78"/>
    </row>
    <row r="50" spans="4:7" ht="12.75">
      <c r="D50" s="78"/>
      <c r="E50" s="78"/>
      <c r="G50" s="78"/>
    </row>
    <row r="51" spans="1:7" ht="12.75">
      <c r="A51" s="16" t="s">
        <v>25</v>
      </c>
      <c r="B51" s="77"/>
      <c r="E51" s="1" t="s">
        <v>55</v>
      </c>
      <c r="G51" s="78"/>
    </row>
    <row r="52" spans="1:7" ht="12.75">
      <c r="A52" s="16"/>
      <c r="B52" s="77"/>
      <c r="C52" s="99"/>
      <c r="E52" s="99"/>
      <c r="G52" s="78"/>
    </row>
    <row r="53" spans="1:7" ht="12.75">
      <c r="A53" s="16"/>
      <c r="B53" s="77"/>
      <c r="C53" s="100"/>
      <c r="E53" s="100"/>
      <c r="G53" s="78"/>
    </row>
    <row r="54" spans="1:7" ht="12.75">
      <c r="A54" s="17" t="s">
        <v>658</v>
      </c>
      <c r="B54" s="77"/>
      <c r="C54" s="20"/>
      <c r="E54" s="20" t="s">
        <v>712</v>
      </c>
      <c r="G54" s="78"/>
    </row>
    <row r="55" spans="1:7" ht="12.75">
      <c r="A55" s="16" t="s">
        <v>210</v>
      </c>
      <c r="B55" s="77"/>
      <c r="E55" s="1" t="s">
        <v>224</v>
      </c>
      <c r="G55" s="78"/>
    </row>
    <row r="56" spans="4:7" ht="12.75">
      <c r="D56" s="78"/>
      <c r="E56" s="78"/>
      <c r="G56" s="78"/>
    </row>
    <row r="57" spans="4:7" ht="12.75">
      <c r="D57" s="78"/>
      <c r="E57" s="78"/>
      <c r="G57" s="78"/>
    </row>
    <row r="58" spans="4:7" ht="12.75">
      <c r="D58" s="78"/>
      <c r="E58" s="78"/>
      <c r="G58" s="78"/>
    </row>
    <row r="59" spans="4:7" ht="12.75">
      <c r="D59" s="78"/>
      <c r="E59" s="78"/>
      <c r="G59" s="78"/>
    </row>
    <row r="60" spans="4:7" ht="12.75">
      <c r="D60" s="78"/>
      <c r="E60" s="78"/>
      <c r="G60" s="78"/>
    </row>
    <row r="61" spans="4:7" ht="12.75">
      <c r="D61" s="78"/>
      <c r="E61" s="78"/>
      <c r="G61" s="78"/>
    </row>
    <row r="62" spans="4:7" ht="12.75">
      <c r="D62" s="78"/>
      <c r="E62" s="78"/>
      <c r="G62" s="78"/>
    </row>
    <row r="63" spans="4:7" ht="12.75">
      <c r="D63" s="78"/>
      <c r="E63" s="78"/>
      <c r="G63" s="78"/>
    </row>
    <row r="64" spans="4:7" ht="12.75">
      <c r="D64" s="78"/>
      <c r="E64" s="78"/>
      <c r="G64" s="78"/>
    </row>
    <row r="65" spans="4:7" ht="12.75">
      <c r="D65" s="78"/>
      <c r="E65" s="78"/>
      <c r="G65" s="78"/>
    </row>
    <row r="66" spans="4:7" ht="12.75">
      <c r="D66" s="78"/>
      <c r="E66" s="78"/>
      <c r="G66" s="78"/>
    </row>
    <row r="67" spans="4:7" ht="12.75">
      <c r="D67" s="78"/>
      <c r="E67" s="78"/>
      <c r="G67" s="78"/>
    </row>
    <row r="68" spans="4:7" ht="12.75">
      <c r="D68" s="78"/>
      <c r="E68" s="78"/>
      <c r="G68" s="78"/>
    </row>
    <row r="69" spans="4:7" ht="12.75">
      <c r="D69" s="78"/>
      <c r="E69" s="78"/>
      <c r="G69" s="78"/>
    </row>
    <row r="70" spans="4:7" ht="12.75">
      <c r="D70" s="78"/>
      <c r="E70" s="78"/>
      <c r="G70" s="78"/>
    </row>
    <row r="71" spans="4:7" ht="12.75">
      <c r="D71" s="78"/>
      <c r="E71" s="78"/>
      <c r="G71" s="78"/>
    </row>
    <row r="72" spans="4:7" ht="12.75">
      <c r="D72" s="78"/>
      <c r="E72" s="78"/>
      <c r="G72" s="78"/>
    </row>
    <row r="73" spans="4:7" ht="12.75">
      <c r="D73" s="78"/>
      <c r="E73" s="78"/>
      <c r="G73" s="78"/>
    </row>
    <row r="74" spans="4:7" ht="12.75">
      <c r="D74" s="78"/>
      <c r="E74" s="78"/>
      <c r="G74" s="78"/>
    </row>
    <row r="75" spans="4:7" ht="12.75">
      <c r="D75" s="78"/>
      <c r="E75" s="78"/>
      <c r="G75" s="78"/>
    </row>
    <row r="76" spans="4:7" ht="12.75">
      <c r="D76" s="78"/>
      <c r="E76" s="78"/>
      <c r="G76" s="78"/>
    </row>
    <row r="77" spans="4:7" ht="12.75">
      <c r="D77" s="78"/>
      <c r="E77" s="78"/>
      <c r="G77" s="78"/>
    </row>
    <row r="78" spans="4:7" ht="12.75">
      <c r="D78" s="78"/>
      <c r="E78" s="78"/>
      <c r="G78" s="78"/>
    </row>
    <row r="79" spans="4:7" ht="12.75">
      <c r="D79" s="78"/>
      <c r="E79" s="78"/>
      <c r="G79" s="78"/>
    </row>
    <row r="80" spans="4:7" ht="12.75">
      <c r="D80" s="78"/>
      <c r="E80" s="78"/>
      <c r="G80" s="78"/>
    </row>
    <row r="81" spans="4:7" ht="12.75">
      <c r="D81" s="78"/>
      <c r="E81" s="78"/>
      <c r="G81" s="78"/>
    </row>
    <row r="82" spans="4:7" ht="12.75">
      <c r="D82" s="78"/>
      <c r="E82" s="78"/>
      <c r="G82" s="78"/>
    </row>
    <row r="83" spans="4:7" ht="12.75">
      <c r="D83" s="78"/>
      <c r="E83" s="78"/>
      <c r="G83" s="78"/>
    </row>
    <row r="84" spans="4:7" ht="12.75">
      <c r="D84" s="78"/>
      <c r="E84" s="78"/>
      <c r="G84" s="78"/>
    </row>
    <row r="85" spans="4:7" ht="12.75">
      <c r="D85" s="78"/>
      <c r="E85" s="78"/>
      <c r="G85" s="78"/>
    </row>
    <row r="86" spans="4:7" ht="12.75">
      <c r="D86" s="78"/>
      <c r="E86" s="78"/>
      <c r="G86" s="78"/>
    </row>
    <row r="87" spans="4:7" ht="12.75">
      <c r="D87" s="78"/>
      <c r="E87" s="78"/>
      <c r="G87" s="78"/>
    </row>
    <row r="88" spans="4:7" ht="12.75">
      <c r="D88" s="78"/>
      <c r="E88" s="78"/>
      <c r="G88" s="78"/>
    </row>
    <row r="89" spans="4:7" ht="12.75">
      <c r="D89" s="78"/>
      <c r="E89" s="78"/>
      <c r="G89" s="78"/>
    </row>
    <row r="90" spans="4:7" ht="12.75">
      <c r="D90" s="78"/>
      <c r="E90" s="78"/>
      <c r="G90" s="78"/>
    </row>
    <row r="91" spans="4:7" ht="12.75">
      <c r="D91" s="78"/>
      <c r="E91" s="78"/>
      <c r="G91" s="78"/>
    </row>
    <row r="92" spans="4:7" ht="12.75">
      <c r="D92" s="78"/>
      <c r="E92" s="78"/>
      <c r="G92" s="78"/>
    </row>
    <row r="93" spans="4:7" ht="12.75">
      <c r="D93" s="78"/>
      <c r="E93" s="78"/>
      <c r="G93" s="78"/>
    </row>
    <row r="94" spans="4:7" ht="12.75">
      <c r="D94" s="78"/>
      <c r="E94" s="78"/>
      <c r="G94" s="78"/>
    </row>
    <row r="95" spans="4:7" ht="12.75">
      <c r="D95" s="78"/>
      <c r="E95" s="78"/>
      <c r="G95" s="78"/>
    </row>
    <row r="96" spans="4:7" ht="12.75">
      <c r="D96" s="78"/>
      <c r="E96" s="78"/>
      <c r="G96" s="78"/>
    </row>
    <row r="97" spans="4:7" ht="12.75">
      <c r="D97" s="78"/>
      <c r="E97" s="78"/>
      <c r="G97" s="78"/>
    </row>
    <row r="98" spans="4:7" ht="12.75">
      <c r="D98" s="78"/>
      <c r="E98" s="78"/>
      <c r="G98" s="78"/>
    </row>
    <row r="99" spans="4:7" ht="12.75">
      <c r="D99" s="78"/>
      <c r="E99" s="78"/>
      <c r="G99" s="78"/>
    </row>
    <row r="100" spans="4:7" ht="12.75">
      <c r="D100" s="78"/>
      <c r="E100" s="78"/>
      <c r="G100" s="78"/>
    </row>
    <row r="101" spans="4:7" ht="12.75">
      <c r="D101" s="78"/>
      <c r="E101" s="78"/>
      <c r="G101" s="78"/>
    </row>
    <row r="102" spans="4:7" ht="12.75">
      <c r="D102" s="78"/>
      <c r="E102" s="78"/>
      <c r="G102" s="78"/>
    </row>
    <row r="103" spans="4:7" ht="12.75">
      <c r="D103" s="78"/>
      <c r="E103" s="78"/>
      <c r="G103" s="78"/>
    </row>
    <row r="104" spans="4:7" ht="12.75">
      <c r="D104" s="78"/>
      <c r="E104" s="78"/>
      <c r="G104" s="78"/>
    </row>
    <row r="105" spans="4:7" ht="12.75">
      <c r="D105" s="78"/>
      <c r="E105" s="78"/>
      <c r="G105" s="78"/>
    </row>
    <row r="106" spans="4:7" ht="12.75">
      <c r="D106" s="78"/>
      <c r="E106" s="78"/>
      <c r="G106" s="78"/>
    </row>
    <row r="107" spans="4:7" ht="12.75">
      <c r="D107" s="78"/>
      <c r="E107" s="78"/>
      <c r="G107" s="78"/>
    </row>
    <row r="108" spans="4:7" ht="12.75">
      <c r="D108" s="78"/>
      <c r="E108" s="78"/>
      <c r="G108" s="78"/>
    </row>
    <row r="109" spans="4:7" ht="12.75">
      <c r="D109" s="78"/>
      <c r="E109" s="78"/>
      <c r="G109" s="78"/>
    </row>
    <row r="110" spans="4:7" ht="12.75">
      <c r="D110" s="78"/>
      <c r="E110" s="78"/>
      <c r="G110" s="78"/>
    </row>
    <row r="111" spans="4:7" ht="12.75">
      <c r="D111" s="78"/>
      <c r="E111" s="78"/>
      <c r="G111" s="78"/>
    </row>
    <row r="112" spans="4:7" ht="12.75">
      <c r="D112" s="78"/>
      <c r="E112" s="78"/>
      <c r="G112" s="78"/>
    </row>
    <row r="113" spans="4:7" ht="12.75">
      <c r="D113" s="78"/>
      <c r="E113" s="78"/>
      <c r="G113" s="78"/>
    </row>
    <row r="114" spans="4:7" ht="12.75">
      <c r="D114" s="78"/>
      <c r="E114" s="78"/>
      <c r="G114" s="78"/>
    </row>
    <row r="115" spans="4:7" ht="12.75">
      <c r="D115" s="78"/>
      <c r="E115" s="78"/>
      <c r="G115" s="78"/>
    </row>
    <row r="116" spans="4:7" ht="12.75">
      <c r="D116" s="78"/>
      <c r="E116" s="78"/>
      <c r="G116" s="78"/>
    </row>
    <row r="117" spans="4:7" ht="12.75">
      <c r="D117" s="78"/>
      <c r="E117" s="78"/>
      <c r="G117" s="78"/>
    </row>
    <row r="118" spans="4:7" ht="12.75">
      <c r="D118" s="78"/>
      <c r="E118" s="78"/>
      <c r="G118" s="78"/>
    </row>
    <row r="119" spans="4:7" ht="12.75">
      <c r="D119" s="78"/>
      <c r="E119" s="78"/>
      <c r="G119" s="78"/>
    </row>
    <row r="120" spans="4:7" ht="12.75">
      <c r="D120" s="78"/>
      <c r="E120" s="78"/>
      <c r="G120" s="78"/>
    </row>
    <row r="121" spans="4:7" ht="12.75">
      <c r="D121" s="78"/>
      <c r="E121" s="78"/>
      <c r="G121" s="78"/>
    </row>
    <row r="122" spans="4:7" ht="12.75">
      <c r="D122" s="78"/>
      <c r="E122" s="78"/>
      <c r="G122" s="78"/>
    </row>
    <row r="123" spans="4:7" ht="12.75">
      <c r="D123" s="78"/>
      <c r="E123" s="78"/>
      <c r="G123" s="78"/>
    </row>
    <row r="124" spans="4:7" ht="12.75">
      <c r="D124" s="78"/>
      <c r="E124" s="78"/>
      <c r="G124" s="78"/>
    </row>
    <row r="125" spans="4:7" ht="12.75">
      <c r="D125" s="78"/>
      <c r="E125" s="78"/>
      <c r="G125" s="78"/>
    </row>
    <row r="126" spans="4:7" ht="12.75">
      <c r="D126" s="78"/>
      <c r="E126" s="78"/>
      <c r="G126" s="78"/>
    </row>
    <row r="127" spans="4:7" ht="12.75">
      <c r="D127" s="78"/>
      <c r="E127" s="78"/>
      <c r="G127" s="78"/>
    </row>
    <row r="128" spans="4:7" ht="12.75">
      <c r="D128" s="78"/>
      <c r="E128" s="78"/>
      <c r="G128" s="78"/>
    </row>
    <row r="129" spans="4:7" ht="12.75">
      <c r="D129" s="78"/>
      <c r="E129" s="78"/>
      <c r="G129" s="78"/>
    </row>
    <row r="130" spans="4:7" ht="12.75">
      <c r="D130" s="78"/>
      <c r="E130" s="78"/>
      <c r="G130" s="78"/>
    </row>
    <row r="131" spans="4:7" ht="12.75">
      <c r="D131" s="78"/>
      <c r="E131" s="78"/>
      <c r="G131" s="78"/>
    </row>
    <row r="132" spans="4:7" ht="12.75">
      <c r="D132" s="78"/>
      <c r="E132" s="78"/>
      <c r="G132" s="78"/>
    </row>
    <row r="133" spans="4:7" ht="12.75">
      <c r="D133" s="78"/>
      <c r="E133" s="78"/>
      <c r="G133" s="78"/>
    </row>
    <row r="134" spans="4:7" ht="12.75">
      <c r="D134" s="78"/>
      <c r="E134" s="78"/>
      <c r="G134" s="78"/>
    </row>
    <row r="135" spans="4:7" ht="12.75">
      <c r="D135" s="78"/>
      <c r="E135" s="78"/>
      <c r="G135" s="78"/>
    </row>
    <row r="136" spans="4:7" ht="12.75">
      <c r="D136" s="78"/>
      <c r="E136" s="78"/>
      <c r="G136" s="78"/>
    </row>
    <row r="137" spans="4:7" ht="12.75">
      <c r="D137" s="78"/>
      <c r="E137" s="78"/>
      <c r="G137" s="78"/>
    </row>
    <row r="138" spans="4:7" ht="12.75">
      <c r="D138" s="78"/>
      <c r="E138" s="78"/>
      <c r="G138" s="78"/>
    </row>
    <row r="139" spans="4:7" ht="12.75">
      <c r="D139" s="78"/>
      <c r="E139" s="78"/>
      <c r="G139" s="78"/>
    </row>
    <row r="140" spans="4:7" ht="12.75">
      <c r="D140" s="78"/>
      <c r="E140" s="78"/>
      <c r="G140" s="78"/>
    </row>
    <row r="141" spans="4:7" ht="12.75">
      <c r="D141" s="78"/>
      <c r="E141" s="78"/>
      <c r="G141" s="78"/>
    </row>
    <row r="142" spans="4:7" ht="12.75">
      <c r="D142" s="78"/>
      <c r="E142" s="78"/>
      <c r="G142" s="78"/>
    </row>
    <row r="143" spans="4:7" ht="12.75">
      <c r="D143" s="78"/>
      <c r="E143" s="78"/>
      <c r="G143" s="78"/>
    </row>
    <row r="144" spans="4:7" ht="12.75">
      <c r="D144" s="78"/>
      <c r="E144" s="78"/>
      <c r="G144" s="78"/>
    </row>
    <row r="145" spans="4:7" ht="12.75">
      <c r="D145" s="78"/>
      <c r="E145" s="78"/>
      <c r="G145" s="78"/>
    </row>
    <row r="146" spans="4:7" ht="12.75">
      <c r="D146" s="78"/>
      <c r="E146" s="78"/>
      <c r="G146" s="78"/>
    </row>
    <row r="147" spans="4:7" ht="12.75">
      <c r="D147" s="78"/>
      <c r="E147" s="78"/>
      <c r="G147" s="78"/>
    </row>
    <row r="148" spans="4:7" ht="12.75">
      <c r="D148" s="78"/>
      <c r="E148" s="78"/>
      <c r="G148" s="78"/>
    </row>
    <row r="149" spans="4:7" ht="12.75">
      <c r="D149" s="78"/>
      <c r="E149" s="78"/>
      <c r="G149" s="78"/>
    </row>
    <row r="150" spans="4:7" ht="12.75">
      <c r="D150" s="78"/>
      <c r="E150" s="78"/>
      <c r="G150" s="78"/>
    </row>
    <row r="151" spans="4:7" ht="12.75">
      <c r="D151" s="78"/>
      <c r="E151" s="78"/>
      <c r="G151" s="78"/>
    </row>
    <row r="152" spans="4:7" ht="12.75">
      <c r="D152" s="78"/>
      <c r="E152" s="78"/>
      <c r="G152" s="78"/>
    </row>
    <row r="153" spans="4:7" ht="12.75">
      <c r="D153" s="78"/>
      <c r="E153" s="78"/>
      <c r="G153" s="78"/>
    </row>
    <row r="154" spans="4:7" ht="12.75">
      <c r="D154" s="78"/>
      <c r="E154" s="78"/>
      <c r="G154" s="78"/>
    </row>
    <row r="155" spans="4:7" ht="12.75">
      <c r="D155" s="78"/>
      <c r="E155" s="78"/>
      <c r="G155" s="78"/>
    </row>
    <row r="156" spans="4:7" ht="12.75">
      <c r="D156" s="78"/>
      <c r="E156" s="78"/>
      <c r="G156" s="78"/>
    </row>
    <row r="157" spans="4:7" ht="12.75">
      <c r="D157" s="78"/>
      <c r="E157" s="78"/>
      <c r="G157" s="78"/>
    </row>
    <row r="158" spans="4:7" ht="12.75">
      <c r="D158" s="78"/>
      <c r="E158" s="78"/>
      <c r="G158" s="78"/>
    </row>
    <row r="159" spans="4:7" ht="12.75">
      <c r="D159" s="78"/>
      <c r="E159" s="78"/>
      <c r="G159" s="78"/>
    </row>
    <row r="160" spans="4:7" ht="12.75">
      <c r="D160" s="78"/>
      <c r="E160" s="78"/>
      <c r="G160" s="78"/>
    </row>
    <row r="161" spans="4:7" ht="12.75">
      <c r="D161" s="78"/>
      <c r="E161" s="78"/>
      <c r="G161" s="78"/>
    </row>
    <row r="162" spans="4:7" ht="12.75">
      <c r="D162" s="78"/>
      <c r="E162" s="78"/>
      <c r="G162" s="78"/>
    </row>
    <row r="163" spans="4:7" ht="12.75">
      <c r="D163" s="78"/>
      <c r="E163" s="78"/>
      <c r="G163" s="78"/>
    </row>
    <row r="164" spans="4:7" ht="12.75">
      <c r="D164" s="78"/>
      <c r="E164" s="78"/>
      <c r="G164" s="78"/>
    </row>
    <row r="165" spans="4:7" ht="12.75">
      <c r="D165" s="78"/>
      <c r="E165" s="78"/>
      <c r="G165" s="78"/>
    </row>
  </sheetData>
  <sheetProtection/>
  <mergeCells count="6">
    <mergeCell ref="A29:D29"/>
    <mergeCell ref="A1:F1"/>
    <mergeCell ref="A2:F2"/>
    <mergeCell ref="A3:F3"/>
    <mergeCell ref="A4:F4"/>
    <mergeCell ref="A7:F7"/>
  </mergeCells>
  <printOptions/>
  <pageMargins left="0.62" right="0.7" top="0.64" bottom="0.52" header="0.61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3"/>
  <sheetViews>
    <sheetView tabSelected="1" zoomScalePageLayoutView="0" workbookViewId="0" topLeftCell="A1">
      <pane xSplit="2" ySplit="11" topLeftCell="C14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6" sqref="A6:P6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10" width="17.7109375" style="30" customWidth="1"/>
    <col min="11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583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228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744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545" t="s">
        <v>5</v>
      </c>
      <c r="B10" s="255" t="s">
        <v>4</v>
      </c>
      <c r="C10" s="538" t="s">
        <v>736</v>
      </c>
      <c r="D10" s="539"/>
      <c r="E10" s="537" t="s">
        <v>49</v>
      </c>
      <c r="F10" s="537"/>
      <c r="G10" s="538" t="s">
        <v>54</v>
      </c>
      <c r="H10" s="539"/>
      <c r="I10" s="537" t="s">
        <v>48</v>
      </c>
      <c r="J10" s="537"/>
      <c r="K10" s="538" t="s">
        <v>57</v>
      </c>
      <c r="L10" s="539"/>
      <c r="M10" s="538" t="s">
        <v>50</v>
      </c>
      <c r="N10" s="537"/>
      <c r="O10" s="543" t="s">
        <v>7</v>
      </c>
      <c r="P10" s="541" t="s">
        <v>8</v>
      </c>
    </row>
    <row r="11" spans="1:16" ht="16.5" thickBot="1">
      <c r="A11" s="546"/>
      <c r="B11" s="266" t="s">
        <v>6</v>
      </c>
      <c r="C11" s="105" t="s">
        <v>7</v>
      </c>
      <c r="D11" s="106" t="s">
        <v>8</v>
      </c>
      <c r="E11" s="118" t="s">
        <v>7</v>
      </c>
      <c r="F11" s="117" t="s">
        <v>8</v>
      </c>
      <c r="G11" s="105" t="s">
        <v>7</v>
      </c>
      <c r="H11" s="106" t="s">
        <v>8</v>
      </c>
      <c r="I11" s="118" t="s">
        <v>7</v>
      </c>
      <c r="J11" s="117" t="s">
        <v>8</v>
      </c>
      <c r="K11" s="105" t="s">
        <v>7</v>
      </c>
      <c r="L11" s="106" t="s">
        <v>8</v>
      </c>
      <c r="M11" s="105" t="s">
        <v>7</v>
      </c>
      <c r="N11" s="117" t="s">
        <v>8</v>
      </c>
      <c r="O11" s="544"/>
      <c r="P11" s="542"/>
    </row>
    <row r="12" spans="1:16" ht="13.5" customHeight="1">
      <c r="A12" s="253"/>
      <c r="B12" s="255"/>
      <c r="C12" s="253"/>
      <c r="D12" s="70"/>
      <c r="E12" s="111"/>
      <c r="F12" s="35"/>
      <c r="G12" s="253"/>
      <c r="H12" s="70"/>
      <c r="I12" s="111"/>
      <c r="J12" s="35"/>
      <c r="K12" s="253"/>
      <c r="L12" s="70"/>
      <c r="M12" s="253"/>
      <c r="N12" s="35"/>
      <c r="O12" s="267"/>
      <c r="P12" s="116"/>
    </row>
    <row r="13" spans="1:16" ht="12.75" customHeight="1">
      <c r="A13" s="4" t="s">
        <v>9</v>
      </c>
      <c r="B13" s="261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20"/>
      <c r="P13" s="115"/>
    </row>
    <row r="14" spans="1:16" ht="12.75">
      <c r="A14" s="102" t="s">
        <v>678</v>
      </c>
      <c r="B14" s="506" t="s">
        <v>679</v>
      </c>
      <c r="C14" s="107">
        <v>0</v>
      </c>
      <c r="D14" s="10"/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21">
        <f>C14+E14+I14+M14-D14-F14-J14-N14+G14-H14+K14-L14</f>
        <v>0</v>
      </c>
      <c r="P14" s="22"/>
    </row>
    <row r="15" spans="1:16" ht="12.75">
      <c r="A15" s="49" t="s">
        <v>101</v>
      </c>
      <c r="B15" s="506" t="s">
        <v>100</v>
      </c>
      <c r="C15" s="107">
        <v>20000</v>
      </c>
      <c r="D15" s="10"/>
      <c r="E15" s="93">
        <v>15000</v>
      </c>
      <c r="F15" s="323"/>
      <c r="G15" s="13"/>
      <c r="H15" s="46"/>
      <c r="I15" s="6"/>
      <c r="J15" s="47"/>
      <c r="K15" s="13"/>
      <c r="L15" s="46"/>
      <c r="M15" s="13"/>
      <c r="N15" s="47"/>
      <c r="O15" s="121">
        <f aca="true" t="shared" si="0" ref="O15:O91">C15+E15+I15+M15-D15-F15-J15-N15+G15-H15+K15-L15</f>
        <v>35000</v>
      </c>
      <c r="P15" s="22"/>
    </row>
    <row r="16" spans="1:16" s="29" customFormat="1" ht="12.75">
      <c r="A16" s="49" t="s">
        <v>589</v>
      </c>
      <c r="B16" s="506" t="s">
        <v>230</v>
      </c>
      <c r="C16" s="107">
        <v>0</v>
      </c>
      <c r="D16" s="10"/>
      <c r="E16" s="93"/>
      <c r="F16" s="323"/>
      <c r="G16" s="13"/>
      <c r="H16" s="46"/>
      <c r="I16" s="6"/>
      <c r="J16" s="47"/>
      <c r="K16" s="13"/>
      <c r="L16" s="46"/>
      <c r="M16" s="13">
        <v>333912.42</v>
      </c>
      <c r="N16" s="323"/>
      <c r="O16" s="121">
        <f t="shared" si="0"/>
        <v>333912.42</v>
      </c>
      <c r="P16" s="22"/>
    </row>
    <row r="17" spans="1:16" s="29" customFormat="1" ht="12.75">
      <c r="A17" s="49" t="s">
        <v>636</v>
      </c>
      <c r="B17" s="506" t="s">
        <v>590</v>
      </c>
      <c r="C17" s="107">
        <v>0</v>
      </c>
      <c r="D17" s="10"/>
      <c r="E17" s="525"/>
      <c r="F17" s="323"/>
      <c r="G17" s="14"/>
      <c r="H17" s="46"/>
      <c r="I17" s="9"/>
      <c r="J17" s="47"/>
      <c r="K17" s="14"/>
      <c r="L17" s="46"/>
      <c r="M17" s="14"/>
      <c r="N17" s="51"/>
      <c r="O17" s="121">
        <f t="shared" si="0"/>
        <v>0</v>
      </c>
      <c r="P17" s="22"/>
    </row>
    <row r="18" spans="1:16" s="29" customFormat="1" ht="12.75">
      <c r="A18" s="49" t="s">
        <v>103</v>
      </c>
      <c r="B18" s="506" t="s">
        <v>102</v>
      </c>
      <c r="C18" s="107">
        <v>333912.42</v>
      </c>
      <c r="D18" s="10"/>
      <c r="E18" s="525"/>
      <c r="F18" s="323">
        <v>4653789.46</v>
      </c>
      <c r="G18" s="14"/>
      <c r="H18" s="46"/>
      <c r="I18" s="9"/>
      <c r="J18" s="51"/>
      <c r="K18" s="14"/>
      <c r="L18" s="51"/>
      <c r="M18" s="13">
        <v>11641540.93</v>
      </c>
      <c r="N18" s="51">
        <v>333912.42</v>
      </c>
      <c r="O18" s="121">
        <f t="shared" si="0"/>
        <v>6987751.47</v>
      </c>
      <c r="P18" s="22"/>
    </row>
    <row r="19" spans="1:16" s="29" customFormat="1" ht="12.75">
      <c r="A19" s="49" t="s">
        <v>10</v>
      </c>
      <c r="B19" s="506" t="s">
        <v>104</v>
      </c>
      <c r="C19" s="107">
        <v>13259934.06</v>
      </c>
      <c r="D19" s="10"/>
      <c r="E19" s="525"/>
      <c r="F19" s="323"/>
      <c r="G19" s="14"/>
      <c r="H19" s="46"/>
      <c r="I19" s="9"/>
      <c r="J19" s="51"/>
      <c r="K19" s="10">
        <f>2758177.34+35250</f>
        <v>2793427.34</v>
      </c>
      <c r="L19" s="10">
        <f>1442000+697916.25</f>
        <v>2139916.25</v>
      </c>
      <c r="M19" s="14"/>
      <c r="N19" s="51"/>
      <c r="O19" s="121">
        <f t="shared" si="0"/>
        <v>13913445.15</v>
      </c>
      <c r="P19" s="22"/>
    </row>
    <row r="20" spans="1:16" s="29" customFormat="1" ht="12.75">
      <c r="A20" s="49" t="s">
        <v>567</v>
      </c>
      <c r="B20" s="506" t="s">
        <v>568</v>
      </c>
      <c r="C20" s="107">
        <v>29253808.29</v>
      </c>
      <c r="D20" s="10"/>
      <c r="E20" s="525"/>
      <c r="F20" s="323"/>
      <c r="G20" s="14"/>
      <c r="H20" s="46"/>
      <c r="I20" s="9"/>
      <c r="J20" s="51"/>
      <c r="K20" s="14"/>
      <c r="L20" s="10"/>
      <c r="M20" s="14"/>
      <c r="N20" s="51"/>
      <c r="O20" s="121">
        <f t="shared" si="0"/>
        <v>29253808.29</v>
      </c>
      <c r="P20" s="22"/>
    </row>
    <row r="21" spans="1:16" s="29" customFormat="1" ht="12.75">
      <c r="A21" s="49" t="s">
        <v>734</v>
      </c>
      <c r="B21" s="506" t="s">
        <v>735</v>
      </c>
      <c r="C21" s="107">
        <v>1922000</v>
      </c>
      <c r="D21" s="10"/>
      <c r="E21" s="525"/>
      <c r="F21" s="323"/>
      <c r="G21" s="14"/>
      <c r="H21" s="46"/>
      <c r="I21" s="9"/>
      <c r="J21" s="51"/>
      <c r="K21" s="14"/>
      <c r="L21" s="10">
        <v>1425000</v>
      </c>
      <c r="M21" s="14"/>
      <c r="N21" s="51"/>
      <c r="O21" s="121">
        <f t="shared" si="0"/>
        <v>497000</v>
      </c>
      <c r="P21" s="22"/>
    </row>
    <row r="22" spans="1:16" s="29" customFormat="1" ht="12.75">
      <c r="A22" s="49" t="s">
        <v>11</v>
      </c>
      <c r="B22" s="506" t="s">
        <v>105</v>
      </c>
      <c r="C22" s="107">
        <v>30162.22</v>
      </c>
      <c r="D22" s="10"/>
      <c r="E22" s="525"/>
      <c r="F22" s="526"/>
      <c r="G22" s="14"/>
      <c r="H22" s="53"/>
      <c r="I22" s="9"/>
      <c r="J22" s="52"/>
      <c r="K22" s="14"/>
      <c r="L22" s="53"/>
      <c r="M22" s="14"/>
      <c r="N22" s="52"/>
      <c r="O22" s="121">
        <f t="shared" si="0"/>
        <v>30162.22</v>
      </c>
      <c r="P22" s="122"/>
    </row>
    <row r="23" spans="1:16" s="29" customFormat="1" ht="12.75">
      <c r="A23" s="74" t="s">
        <v>108</v>
      </c>
      <c r="B23" s="507" t="s">
        <v>106</v>
      </c>
      <c r="C23" s="107">
        <v>0</v>
      </c>
      <c r="D23" s="12"/>
      <c r="E23" s="525"/>
      <c r="F23" s="526"/>
      <c r="G23" s="14"/>
      <c r="H23" s="53"/>
      <c r="I23" s="9"/>
      <c r="J23" s="52"/>
      <c r="K23" s="14"/>
      <c r="L23" s="53"/>
      <c r="M23" s="14"/>
      <c r="N23" s="52"/>
      <c r="O23" s="121">
        <f t="shared" si="0"/>
        <v>0</v>
      </c>
      <c r="P23" s="122"/>
    </row>
    <row r="24" spans="1:16" s="29" customFormat="1" ht="12.75">
      <c r="A24" s="49" t="s">
        <v>109</v>
      </c>
      <c r="B24" s="506" t="s">
        <v>107</v>
      </c>
      <c r="C24" s="107">
        <v>0</v>
      </c>
      <c r="D24" s="12"/>
      <c r="E24" s="525"/>
      <c r="F24" s="526"/>
      <c r="G24" s="14"/>
      <c r="H24" s="53"/>
      <c r="I24" s="9"/>
      <c r="J24" s="52"/>
      <c r="K24" s="14"/>
      <c r="L24" s="53"/>
      <c r="M24" s="14"/>
      <c r="N24" s="52"/>
      <c r="O24" s="121">
        <f t="shared" si="0"/>
        <v>0</v>
      </c>
      <c r="P24" s="122"/>
    </row>
    <row r="25" spans="1:16" s="29" customFormat="1" ht="12.75">
      <c r="A25" s="49" t="s">
        <v>239</v>
      </c>
      <c r="B25" s="506" t="s">
        <v>240</v>
      </c>
      <c r="C25" s="107">
        <v>0</v>
      </c>
      <c r="D25" s="12"/>
      <c r="E25" s="525"/>
      <c r="F25" s="526"/>
      <c r="G25" s="14"/>
      <c r="H25" s="53"/>
      <c r="I25" s="9"/>
      <c r="J25" s="52"/>
      <c r="K25" s="14"/>
      <c r="L25" s="53"/>
      <c r="M25" s="14"/>
      <c r="N25" s="52"/>
      <c r="O25" s="121">
        <f t="shared" si="0"/>
        <v>0</v>
      </c>
      <c r="P25" s="122"/>
    </row>
    <row r="26" spans="1:16" s="29" customFormat="1" ht="12.75">
      <c r="A26" s="49" t="s">
        <v>238</v>
      </c>
      <c r="B26" s="506" t="s">
        <v>231</v>
      </c>
      <c r="C26" s="107">
        <v>0</v>
      </c>
      <c r="D26" s="12"/>
      <c r="E26" s="525"/>
      <c r="F26" s="526"/>
      <c r="G26" s="14"/>
      <c r="H26" s="53"/>
      <c r="I26" s="9"/>
      <c r="J26" s="52"/>
      <c r="K26" s="14"/>
      <c r="L26" s="53"/>
      <c r="M26" s="14"/>
      <c r="N26" s="52"/>
      <c r="O26" s="121">
        <f t="shared" si="0"/>
        <v>0</v>
      </c>
      <c r="P26" s="122"/>
    </row>
    <row r="27" spans="1:16" s="29" customFormat="1" ht="12.75">
      <c r="A27" s="49" t="s">
        <v>534</v>
      </c>
      <c r="B27" s="506" t="s">
        <v>526</v>
      </c>
      <c r="C27" s="107">
        <v>0</v>
      </c>
      <c r="D27" s="12"/>
      <c r="E27" s="525"/>
      <c r="F27" s="526"/>
      <c r="G27" s="14"/>
      <c r="H27" s="53"/>
      <c r="I27" s="9"/>
      <c r="J27" s="52"/>
      <c r="K27" s="14"/>
      <c r="L27" s="53"/>
      <c r="M27" s="14"/>
      <c r="N27" s="52"/>
      <c r="O27" s="121">
        <f t="shared" si="0"/>
        <v>0</v>
      </c>
      <c r="P27" s="122"/>
    </row>
    <row r="28" spans="1:16" s="29" customFormat="1" ht="12.75">
      <c r="A28" s="49" t="s">
        <v>732</v>
      </c>
      <c r="B28" s="506" t="s">
        <v>520</v>
      </c>
      <c r="C28" s="107">
        <v>0</v>
      </c>
      <c r="D28" s="12"/>
      <c r="E28" s="525"/>
      <c r="F28" s="526"/>
      <c r="G28" s="14"/>
      <c r="H28" s="53"/>
      <c r="I28" s="9"/>
      <c r="J28" s="52"/>
      <c r="K28" s="14"/>
      <c r="L28" s="53"/>
      <c r="M28" s="14"/>
      <c r="N28" s="52"/>
      <c r="O28" s="121">
        <f t="shared" si="0"/>
        <v>0</v>
      </c>
      <c r="P28" s="122"/>
    </row>
    <row r="29" spans="1:16" s="29" customFormat="1" ht="12.75">
      <c r="A29" s="49" t="s">
        <v>213</v>
      </c>
      <c r="B29" s="506" t="s">
        <v>209</v>
      </c>
      <c r="C29" s="107">
        <v>25000</v>
      </c>
      <c r="D29" s="12"/>
      <c r="E29" s="525"/>
      <c r="F29" s="526"/>
      <c r="G29" s="14"/>
      <c r="H29" s="98"/>
      <c r="I29" s="9"/>
      <c r="J29" s="52"/>
      <c r="K29" s="14"/>
      <c r="L29" s="53"/>
      <c r="M29" s="14"/>
      <c r="N29" s="52">
        <v>25000</v>
      </c>
      <c r="O29" s="121">
        <f t="shared" si="0"/>
        <v>0</v>
      </c>
      <c r="P29" s="122"/>
    </row>
    <row r="30" spans="1:16" s="29" customFormat="1" ht="12.75">
      <c r="A30" s="49" t="s">
        <v>201</v>
      </c>
      <c r="B30" s="506" t="s">
        <v>200</v>
      </c>
      <c r="C30" s="107">
        <v>0</v>
      </c>
      <c r="D30" s="12"/>
      <c r="E30" s="525">
        <v>16500</v>
      </c>
      <c r="F30" s="526"/>
      <c r="G30" s="14"/>
      <c r="H30" s="98"/>
      <c r="I30" s="9"/>
      <c r="J30" s="52"/>
      <c r="K30" s="14"/>
      <c r="L30" s="53"/>
      <c r="M30" s="14"/>
      <c r="N30" s="52">
        <v>16500</v>
      </c>
      <c r="O30" s="121">
        <f t="shared" si="0"/>
        <v>0</v>
      </c>
      <c r="P30" s="122"/>
    </row>
    <row r="31" spans="1:16" s="29" customFormat="1" ht="12.75">
      <c r="A31" s="49" t="s">
        <v>202</v>
      </c>
      <c r="B31" s="506" t="s">
        <v>203</v>
      </c>
      <c r="C31" s="107">
        <v>37108</v>
      </c>
      <c r="D31" s="12"/>
      <c r="E31" s="525">
        <v>32634</v>
      </c>
      <c r="F31" s="526">
        <v>19756</v>
      </c>
      <c r="G31" s="14"/>
      <c r="H31" s="53"/>
      <c r="I31" s="9"/>
      <c r="J31" s="52"/>
      <c r="K31" s="14"/>
      <c r="L31" s="53"/>
      <c r="M31" s="14"/>
      <c r="N31" s="52">
        <f>14198+18888</f>
        <v>33086</v>
      </c>
      <c r="O31" s="121">
        <f t="shared" si="0"/>
        <v>16900</v>
      </c>
      <c r="P31" s="122"/>
    </row>
    <row r="32" spans="1:16" s="29" customFormat="1" ht="12.75">
      <c r="A32" s="49" t="s">
        <v>727</v>
      </c>
      <c r="B32" s="506" t="s">
        <v>728</v>
      </c>
      <c r="C32" s="107">
        <v>14711888.91</v>
      </c>
      <c r="D32" s="12"/>
      <c r="E32" s="525"/>
      <c r="F32" s="526"/>
      <c r="G32" s="14"/>
      <c r="H32" s="53"/>
      <c r="I32" s="9"/>
      <c r="J32" s="52"/>
      <c r="K32" s="27">
        <v>697916.25</v>
      </c>
      <c r="L32" s="53">
        <v>1333177.34</v>
      </c>
      <c r="M32" s="14"/>
      <c r="N32" s="52"/>
      <c r="O32" s="121">
        <f t="shared" si="0"/>
        <v>14076627.82</v>
      </c>
      <c r="P32" s="122"/>
    </row>
    <row r="33" spans="1:16" s="29" customFormat="1" ht="12.75">
      <c r="A33" s="49" t="s">
        <v>12</v>
      </c>
      <c r="B33" s="506" t="s">
        <v>111</v>
      </c>
      <c r="C33" s="107">
        <v>1208049.99</v>
      </c>
      <c r="D33" s="12"/>
      <c r="E33" s="525"/>
      <c r="F33" s="526"/>
      <c r="G33" s="14"/>
      <c r="H33" s="53"/>
      <c r="I33" s="9"/>
      <c r="J33" s="52"/>
      <c r="K33" s="14"/>
      <c r="L33" s="53"/>
      <c r="M33" s="14"/>
      <c r="N33" s="52"/>
      <c r="O33" s="121">
        <f t="shared" si="0"/>
        <v>1208049.99</v>
      </c>
      <c r="P33" s="122">
        <f>D33+F33+J33+N33+H33-E33-G33-I33-M33+L33-K33</f>
        <v>0</v>
      </c>
    </row>
    <row r="34" spans="1:16" s="29" customFormat="1" ht="12.75">
      <c r="A34" s="49" t="s">
        <v>120</v>
      </c>
      <c r="B34" s="506" t="s">
        <v>112</v>
      </c>
      <c r="C34" s="107"/>
      <c r="D34" s="12">
        <v>364327.7</v>
      </c>
      <c r="E34" s="525"/>
      <c r="F34" s="526"/>
      <c r="G34" s="14"/>
      <c r="H34" s="53"/>
      <c r="I34" s="9"/>
      <c r="J34" s="52"/>
      <c r="K34" s="14"/>
      <c r="L34" s="53"/>
      <c r="M34" s="14"/>
      <c r="N34" s="52"/>
      <c r="O34" s="121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506" t="s">
        <v>113</v>
      </c>
      <c r="C35" s="107">
        <v>718378</v>
      </c>
      <c r="D35" s="12"/>
      <c r="E35" s="525"/>
      <c r="F35" s="526"/>
      <c r="G35" s="14"/>
      <c r="H35" s="12"/>
      <c r="I35" s="9"/>
      <c r="J35" s="52"/>
      <c r="K35" s="14"/>
      <c r="L35" s="12"/>
      <c r="M35" s="14"/>
      <c r="N35" s="52"/>
      <c r="O35" s="121">
        <f t="shared" si="0"/>
        <v>718378</v>
      </c>
      <c r="P35" s="122">
        <f>D35+F35+J35+N35+H35-E35-G35-I35-M35+L35-K35</f>
        <v>0</v>
      </c>
    </row>
    <row r="36" spans="1:16" s="29" customFormat="1" ht="12.75">
      <c r="A36" s="49" t="s">
        <v>115</v>
      </c>
      <c r="B36" s="506" t="s">
        <v>121</v>
      </c>
      <c r="C36" s="107"/>
      <c r="D36" s="12">
        <v>422310.89</v>
      </c>
      <c r="E36" s="525"/>
      <c r="F36" s="526"/>
      <c r="G36" s="14"/>
      <c r="H36" s="12"/>
      <c r="I36" s="9"/>
      <c r="J36" s="52"/>
      <c r="K36" s="14"/>
      <c r="L36" s="12"/>
      <c r="M36" s="14"/>
      <c r="N36" s="52"/>
      <c r="O36" s="121"/>
      <c r="P36" s="122">
        <f>D36+F36+J36+N36+H36-E36-G36-I36-M36+L36-K36</f>
        <v>422310.89</v>
      </c>
    </row>
    <row r="37" spans="1:16" s="29" customFormat="1" ht="12.75">
      <c r="A37" s="49" t="s">
        <v>780</v>
      </c>
      <c r="B37" s="262" t="s">
        <v>778</v>
      </c>
      <c r="C37" s="107">
        <v>0</v>
      </c>
      <c r="D37" s="12"/>
      <c r="E37" s="525"/>
      <c r="F37" s="526"/>
      <c r="G37" s="14"/>
      <c r="H37" s="12"/>
      <c r="I37" s="9"/>
      <c r="J37" s="52"/>
      <c r="K37" s="14"/>
      <c r="L37" s="12"/>
      <c r="M37" s="14"/>
      <c r="N37" s="52"/>
      <c r="O37" s="121">
        <f t="shared" si="0"/>
        <v>0</v>
      </c>
      <c r="P37" s="122"/>
    </row>
    <row r="38" spans="1:16" s="29" customFormat="1" ht="12.75">
      <c r="A38" s="49" t="s">
        <v>781</v>
      </c>
      <c r="B38" s="262" t="s">
        <v>779</v>
      </c>
      <c r="C38" s="107"/>
      <c r="D38" s="12">
        <v>0</v>
      </c>
      <c r="E38" s="525"/>
      <c r="F38" s="526"/>
      <c r="G38" s="14"/>
      <c r="H38" s="12"/>
      <c r="I38" s="9"/>
      <c r="J38" s="52"/>
      <c r="K38" s="14"/>
      <c r="L38" s="12"/>
      <c r="M38" s="14"/>
      <c r="N38" s="52"/>
      <c r="O38" s="121">
        <f t="shared" si="0"/>
        <v>0</v>
      </c>
      <c r="P38" s="122">
        <f>D38+F38+J38+N38+H38-E38-G38-I38-M38+L38-K38</f>
        <v>0</v>
      </c>
    </row>
    <row r="39" spans="1:16" s="29" customFormat="1" ht="12.75">
      <c r="A39" s="49" t="s">
        <v>782</v>
      </c>
      <c r="B39" s="262" t="s">
        <v>783</v>
      </c>
      <c r="C39" s="107">
        <v>0</v>
      </c>
      <c r="D39" s="12"/>
      <c r="E39" s="525"/>
      <c r="F39" s="526"/>
      <c r="G39" s="14"/>
      <c r="H39" s="12"/>
      <c r="I39" s="9"/>
      <c r="J39" s="52"/>
      <c r="K39" s="14"/>
      <c r="L39" s="12"/>
      <c r="M39" s="14"/>
      <c r="N39" s="52"/>
      <c r="O39" s="121">
        <f t="shared" si="0"/>
        <v>0</v>
      </c>
      <c r="P39" s="122"/>
    </row>
    <row r="40" spans="1:16" s="29" customFormat="1" ht="12.75">
      <c r="A40" s="49" t="s">
        <v>784</v>
      </c>
      <c r="B40" s="262" t="s">
        <v>785</v>
      </c>
      <c r="C40" s="107"/>
      <c r="D40" s="12">
        <v>0</v>
      </c>
      <c r="E40" s="525"/>
      <c r="F40" s="526"/>
      <c r="G40" s="14"/>
      <c r="H40" s="12"/>
      <c r="I40" s="9"/>
      <c r="J40" s="52"/>
      <c r="K40" s="14"/>
      <c r="L40" s="12"/>
      <c r="M40" s="14"/>
      <c r="N40" s="52"/>
      <c r="O40" s="121">
        <f t="shared" si="0"/>
        <v>0</v>
      </c>
      <c r="P40" s="122">
        <f>D40+F40+J40+N40+H40-E40-G40-I40-M40+L40-K40</f>
        <v>0</v>
      </c>
    </row>
    <row r="41" spans="1:16" s="29" customFormat="1" ht="12.75">
      <c r="A41" s="49" t="s">
        <v>786</v>
      </c>
      <c r="B41" s="262" t="s">
        <v>788</v>
      </c>
      <c r="C41" s="107"/>
      <c r="D41" s="12"/>
      <c r="E41" s="525"/>
      <c r="F41" s="526"/>
      <c r="G41" s="14"/>
      <c r="H41" s="12"/>
      <c r="I41" s="9"/>
      <c r="J41" s="52"/>
      <c r="K41" s="14"/>
      <c r="L41" s="12"/>
      <c r="M41" s="14"/>
      <c r="N41" s="52"/>
      <c r="O41" s="121"/>
      <c r="P41" s="122"/>
    </row>
    <row r="42" spans="1:16" s="29" customFormat="1" ht="12.75">
      <c r="A42" s="49" t="s">
        <v>787</v>
      </c>
      <c r="B42" s="262" t="s">
        <v>789</v>
      </c>
      <c r="C42" s="107"/>
      <c r="D42" s="12"/>
      <c r="E42" s="525"/>
      <c r="F42" s="526"/>
      <c r="G42" s="14"/>
      <c r="H42" s="12"/>
      <c r="I42" s="9"/>
      <c r="J42" s="52"/>
      <c r="K42" s="14"/>
      <c r="L42" s="12"/>
      <c r="M42" s="14"/>
      <c r="N42" s="52"/>
      <c r="O42" s="121"/>
      <c r="P42" s="122"/>
    </row>
    <row r="43" spans="1:16" s="29" customFormat="1" ht="12.75">
      <c r="A43" s="49" t="s">
        <v>530</v>
      </c>
      <c r="B43" s="506" t="s">
        <v>533</v>
      </c>
      <c r="C43" s="107">
        <v>40622</v>
      </c>
      <c r="D43" s="12"/>
      <c r="E43" s="525"/>
      <c r="F43" s="526"/>
      <c r="G43" s="14"/>
      <c r="H43" s="12"/>
      <c r="I43" s="9"/>
      <c r="J43" s="52"/>
      <c r="K43" s="14"/>
      <c r="L43" s="12"/>
      <c r="M43" s="14"/>
      <c r="N43" s="52"/>
      <c r="O43" s="121">
        <f t="shared" si="0"/>
        <v>40622</v>
      </c>
      <c r="P43" s="122"/>
    </row>
    <row r="44" spans="1:16" s="29" customFormat="1" ht="12.75">
      <c r="A44" s="49" t="s">
        <v>531</v>
      </c>
      <c r="B44" s="506" t="s">
        <v>532</v>
      </c>
      <c r="C44" s="107"/>
      <c r="D44" s="12">
        <v>9647.73</v>
      </c>
      <c r="E44" s="525"/>
      <c r="F44" s="526"/>
      <c r="G44" s="14"/>
      <c r="H44" s="12"/>
      <c r="I44" s="9"/>
      <c r="J44" s="52"/>
      <c r="K44" s="14"/>
      <c r="L44" s="12"/>
      <c r="M44" s="14"/>
      <c r="N44" s="52"/>
      <c r="O44" s="121"/>
      <c r="P44" s="122">
        <f>D44+F44+J44+N44+H44-E44-G44-I44-M44+L44-K44</f>
        <v>9647.73</v>
      </c>
    </row>
    <row r="45" spans="1:16" s="29" customFormat="1" ht="12.75">
      <c r="A45" s="49" t="s">
        <v>128</v>
      </c>
      <c r="B45" s="506" t="s">
        <v>130</v>
      </c>
      <c r="C45" s="107">
        <v>545970</v>
      </c>
      <c r="D45" s="12"/>
      <c r="E45" s="525"/>
      <c r="F45" s="526"/>
      <c r="G45" s="14"/>
      <c r="H45" s="12"/>
      <c r="I45" s="9"/>
      <c r="J45" s="52"/>
      <c r="K45" s="14"/>
      <c r="L45" s="12"/>
      <c r="M45" s="14"/>
      <c r="N45" s="52"/>
      <c r="O45" s="121">
        <f t="shared" si="0"/>
        <v>545970</v>
      </c>
      <c r="P45" s="122"/>
    </row>
    <row r="46" spans="1:16" s="29" customFormat="1" ht="12.75">
      <c r="A46" s="49" t="s">
        <v>129</v>
      </c>
      <c r="B46" s="506" t="s">
        <v>131</v>
      </c>
      <c r="C46" s="107"/>
      <c r="D46" s="12">
        <v>370243.56</v>
      </c>
      <c r="E46" s="525"/>
      <c r="F46" s="526"/>
      <c r="G46" s="14"/>
      <c r="H46" s="12"/>
      <c r="I46" s="9"/>
      <c r="J46" s="52"/>
      <c r="K46" s="14"/>
      <c r="L46" s="12"/>
      <c r="M46" s="14"/>
      <c r="N46" s="52"/>
      <c r="O46" s="121"/>
      <c r="P46" s="122">
        <f>D46+F46+J46+N46+H46-E46-G46-I46-M46+L46-K46</f>
        <v>370243.56</v>
      </c>
    </row>
    <row r="47" spans="1:16" s="29" customFormat="1" ht="12.75">
      <c r="A47" s="49" t="s">
        <v>41</v>
      </c>
      <c r="B47" s="506" t="s">
        <v>126</v>
      </c>
      <c r="C47" s="107">
        <v>0</v>
      </c>
      <c r="D47" s="12"/>
      <c r="E47" s="525"/>
      <c r="F47" s="526"/>
      <c r="G47" s="14"/>
      <c r="H47" s="12"/>
      <c r="I47" s="9"/>
      <c r="J47" s="52"/>
      <c r="K47" s="14">
        <v>1442000</v>
      </c>
      <c r="L47" s="12"/>
      <c r="M47" s="14">
        <v>949000</v>
      </c>
      <c r="N47" s="52"/>
      <c r="O47" s="121">
        <f t="shared" si="0"/>
        <v>2391000</v>
      </c>
      <c r="P47" s="122"/>
    </row>
    <row r="48" spans="1:16" s="29" customFormat="1" ht="12.75">
      <c r="A48" s="49" t="s">
        <v>42</v>
      </c>
      <c r="B48" s="506" t="s">
        <v>127</v>
      </c>
      <c r="C48" s="107"/>
      <c r="D48" s="12">
        <v>0</v>
      </c>
      <c r="E48" s="525"/>
      <c r="F48" s="526"/>
      <c r="G48" s="14"/>
      <c r="H48" s="12"/>
      <c r="I48" s="9"/>
      <c r="J48" s="52"/>
      <c r="K48" s="14"/>
      <c r="L48" s="12"/>
      <c r="M48" s="14"/>
      <c r="N48" s="52">
        <v>854100</v>
      </c>
      <c r="O48" s="121"/>
      <c r="P48" s="122">
        <f>D48+F48+J48+N48+H48-E48-G48-I48-M48+L48-K48</f>
        <v>854100</v>
      </c>
    </row>
    <row r="49" spans="1:16" s="29" customFormat="1" ht="12.75">
      <c r="A49" s="49" t="s">
        <v>13</v>
      </c>
      <c r="B49" s="506" t="s">
        <v>118</v>
      </c>
      <c r="C49" s="107">
        <v>631727.2</v>
      </c>
      <c r="D49" s="12"/>
      <c r="E49" s="525"/>
      <c r="F49" s="526"/>
      <c r="G49" s="14"/>
      <c r="H49" s="12"/>
      <c r="I49" s="9"/>
      <c r="J49" s="52"/>
      <c r="K49" s="14"/>
      <c r="L49" s="12"/>
      <c r="M49" s="14"/>
      <c r="N49" s="52"/>
      <c r="O49" s="121">
        <f t="shared" si="0"/>
        <v>631727.2</v>
      </c>
      <c r="P49" s="122"/>
    </row>
    <row r="50" spans="1:16" s="29" customFormat="1" ht="12.75">
      <c r="A50" s="49" t="s">
        <v>14</v>
      </c>
      <c r="B50" s="506" t="s">
        <v>119</v>
      </c>
      <c r="C50" s="107"/>
      <c r="D50" s="12">
        <v>319092.84</v>
      </c>
      <c r="E50" s="525"/>
      <c r="F50" s="526"/>
      <c r="G50" s="14"/>
      <c r="H50" s="12"/>
      <c r="I50" s="9"/>
      <c r="J50" s="52"/>
      <c r="K50" s="14"/>
      <c r="L50" s="12"/>
      <c r="M50" s="14"/>
      <c r="N50" s="52"/>
      <c r="O50" s="121"/>
      <c r="P50" s="122">
        <f>D50+F50+J50+N50+H50-E50-G50-I50-M50+L50-K50</f>
        <v>319092.84</v>
      </c>
    </row>
    <row r="51" spans="1:16" s="29" customFormat="1" ht="12.75">
      <c r="A51" s="49" t="s">
        <v>680</v>
      </c>
      <c r="B51" s="506" t="s">
        <v>681</v>
      </c>
      <c r="C51" s="107">
        <v>0</v>
      </c>
      <c r="D51" s="12"/>
      <c r="E51" s="525"/>
      <c r="F51" s="526"/>
      <c r="G51" s="14"/>
      <c r="H51" s="12"/>
      <c r="I51" s="9"/>
      <c r="J51" s="52"/>
      <c r="K51" s="14"/>
      <c r="L51" s="12"/>
      <c r="M51" s="14"/>
      <c r="N51" s="52"/>
      <c r="O51" s="121">
        <f t="shared" si="0"/>
        <v>0</v>
      </c>
      <c r="P51" s="122"/>
    </row>
    <row r="52" spans="1:16" s="29" customFormat="1" ht="12.75">
      <c r="A52" s="49" t="s">
        <v>683</v>
      </c>
      <c r="B52" s="506" t="s">
        <v>682</v>
      </c>
      <c r="C52" s="107"/>
      <c r="D52" s="12">
        <v>0</v>
      </c>
      <c r="E52" s="525"/>
      <c r="F52" s="526"/>
      <c r="G52" s="14"/>
      <c r="H52" s="12"/>
      <c r="I52" s="9"/>
      <c r="J52" s="52"/>
      <c r="K52" s="14"/>
      <c r="L52" s="12"/>
      <c r="M52" s="14"/>
      <c r="N52" s="52"/>
      <c r="O52" s="121"/>
      <c r="P52" s="122">
        <f>D52+F52+J52+N52+H52-E52-G52-I52-M52+L52-K52</f>
        <v>0</v>
      </c>
    </row>
    <row r="53" spans="1:16" s="29" customFormat="1" ht="12.75">
      <c r="A53" s="49" t="s">
        <v>559</v>
      </c>
      <c r="B53" s="506" t="s">
        <v>558</v>
      </c>
      <c r="C53" s="107">
        <v>33087500</v>
      </c>
      <c r="D53" s="12"/>
      <c r="E53" s="525"/>
      <c r="F53" s="526"/>
      <c r="G53" s="14"/>
      <c r="H53" s="12"/>
      <c r="I53" s="9"/>
      <c r="J53" s="52"/>
      <c r="K53" s="14"/>
      <c r="L53" s="12"/>
      <c r="M53" s="14"/>
      <c r="N53" s="52"/>
      <c r="O53" s="121">
        <f t="shared" si="0"/>
        <v>33087500</v>
      </c>
      <c r="P53" s="122"/>
    </row>
    <row r="54" spans="1:16" s="29" customFormat="1" ht="12.75">
      <c r="A54" s="54" t="s">
        <v>15</v>
      </c>
      <c r="B54" s="506" t="s">
        <v>132</v>
      </c>
      <c r="C54" s="107">
        <v>327763.39</v>
      </c>
      <c r="D54" s="12"/>
      <c r="E54" s="525"/>
      <c r="F54" s="526"/>
      <c r="G54" s="14"/>
      <c r="H54" s="12"/>
      <c r="I54" s="9"/>
      <c r="J54" s="52"/>
      <c r="K54" s="14"/>
      <c r="L54" s="12"/>
      <c r="M54" s="14"/>
      <c r="N54" s="52"/>
      <c r="O54" s="121">
        <f t="shared" si="0"/>
        <v>327763.39</v>
      </c>
      <c r="P54" s="122"/>
    </row>
    <row r="55" spans="1:17" s="29" customFormat="1" ht="12.75">
      <c r="A55" s="8"/>
      <c r="B55" s="249"/>
      <c r="C55" s="107">
        <v>0</v>
      </c>
      <c r="D55" s="12"/>
      <c r="E55" s="525"/>
      <c r="F55" s="526"/>
      <c r="G55" s="14"/>
      <c r="H55" s="12"/>
      <c r="I55" s="9"/>
      <c r="J55" s="52"/>
      <c r="K55" s="14"/>
      <c r="L55" s="12"/>
      <c r="M55" s="14"/>
      <c r="N55" s="52"/>
      <c r="O55" s="121">
        <f t="shared" si="0"/>
        <v>0</v>
      </c>
      <c r="P55" s="122"/>
      <c r="Q55" s="55"/>
    </row>
    <row r="56" spans="1:17" s="29" customFormat="1" ht="12.75" customHeight="1">
      <c r="A56" s="7" t="s">
        <v>16</v>
      </c>
      <c r="B56" s="249"/>
      <c r="C56" s="107">
        <v>0</v>
      </c>
      <c r="D56" s="12"/>
      <c r="E56" s="525"/>
      <c r="F56" s="526"/>
      <c r="G56" s="14"/>
      <c r="H56" s="12"/>
      <c r="I56" s="9"/>
      <c r="J56" s="52"/>
      <c r="K56" s="14"/>
      <c r="L56" s="12"/>
      <c r="M56" s="14"/>
      <c r="N56" s="52"/>
      <c r="O56" s="121"/>
      <c r="P56" s="122"/>
      <c r="Q56" s="55"/>
    </row>
    <row r="57" spans="1:17" s="29" customFormat="1" ht="12.75" customHeight="1">
      <c r="A57" s="49" t="s">
        <v>31</v>
      </c>
      <c r="B57" s="262" t="s">
        <v>133</v>
      </c>
      <c r="C57" s="107"/>
      <c r="D57" s="12">
        <v>0</v>
      </c>
      <c r="E57" s="525"/>
      <c r="F57" s="526"/>
      <c r="G57" s="14"/>
      <c r="H57" s="12"/>
      <c r="I57" s="9"/>
      <c r="J57" s="52"/>
      <c r="K57" s="14"/>
      <c r="L57" s="12">
        <v>35250</v>
      </c>
      <c r="M57" s="14"/>
      <c r="N57" s="52"/>
      <c r="O57" s="121"/>
      <c r="P57" s="122">
        <f aca="true" t="shared" si="1" ref="P57:P66">D57+F57+J57+N57+H57-E57-G57-I57-M57+L57-K57</f>
        <v>35250</v>
      </c>
      <c r="Q57" s="55"/>
    </row>
    <row r="58" spans="1:16" s="29" customFormat="1" ht="12.75">
      <c r="A58" s="49" t="s">
        <v>46</v>
      </c>
      <c r="B58" s="262" t="s">
        <v>134</v>
      </c>
      <c r="C58" s="107"/>
      <c r="D58" s="12">
        <v>593892.66</v>
      </c>
      <c r="E58" s="525"/>
      <c r="F58" s="526">
        <v>188892.4</v>
      </c>
      <c r="G58" s="14"/>
      <c r="H58" s="12"/>
      <c r="I58" s="9"/>
      <c r="J58" s="52"/>
      <c r="K58" s="14"/>
      <c r="L58" s="12"/>
      <c r="M58" s="14">
        <v>593892.66</v>
      </c>
      <c r="N58" s="52"/>
      <c r="O58" s="121"/>
      <c r="P58" s="122">
        <f t="shared" si="1"/>
        <v>188892.40000000002</v>
      </c>
    </row>
    <row r="59" spans="1:16" s="29" customFormat="1" ht="12.75">
      <c r="A59" s="74" t="s">
        <v>685</v>
      </c>
      <c r="B59" s="264" t="s">
        <v>684</v>
      </c>
      <c r="C59" s="107"/>
      <c r="D59" s="12">
        <v>454730.82</v>
      </c>
      <c r="E59" s="525"/>
      <c r="F59" s="526">
        <v>107001.9</v>
      </c>
      <c r="G59" s="14"/>
      <c r="H59" s="12"/>
      <c r="I59" s="9"/>
      <c r="J59" s="52"/>
      <c r="K59" s="14"/>
      <c r="L59" s="12"/>
      <c r="M59" s="14"/>
      <c r="N59" s="52"/>
      <c r="O59" s="121"/>
      <c r="P59" s="122">
        <f t="shared" si="1"/>
        <v>561732.72</v>
      </c>
    </row>
    <row r="60" spans="1:16" s="29" customFormat="1" ht="12.75">
      <c r="A60" s="74" t="s">
        <v>686</v>
      </c>
      <c r="B60" s="264" t="s">
        <v>688</v>
      </c>
      <c r="C60" s="107"/>
      <c r="D60" s="12">
        <v>10448.26</v>
      </c>
      <c r="E60" s="525"/>
      <c r="F60" s="526">
        <v>95208.43</v>
      </c>
      <c r="G60" s="14"/>
      <c r="H60" s="12"/>
      <c r="I60" s="9"/>
      <c r="J60" s="52"/>
      <c r="K60" s="14"/>
      <c r="L60" s="12"/>
      <c r="M60" s="14"/>
      <c r="N60" s="52"/>
      <c r="O60" s="121"/>
      <c r="P60" s="122">
        <f t="shared" si="1"/>
        <v>105656.68999999999</v>
      </c>
    </row>
    <row r="61" spans="1:16" s="29" customFormat="1" ht="12.75">
      <c r="A61" s="74" t="s">
        <v>687</v>
      </c>
      <c r="B61" s="264" t="s">
        <v>689</v>
      </c>
      <c r="C61" s="107"/>
      <c r="D61" s="12">
        <v>11777.86</v>
      </c>
      <c r="E61" s="525"/>
      <c r="F61" s="526">
        <v>13327.86</v>
      </c>
      <c r="G61" s="14"/>
      <c r="H61" s="12"/>
      <c r="I61" s="9"/>
      <c r="J61" s="52"/>
      <c r="K61" s="14"/>
      <c r="L61" s="12"/>
      <c r="M61" s="14"/>
      <c r="N61" s="52"/>
      <c r="O61" s="121"/>
      <c r="P61" s="122">
        <f t="shared" si="1"/>
        <v>25105.72</v>
      </c>
    </row>
    <row r="62" spans="1:17" s="29" customFormat="1" ht="12.75">
      <c r="A62" s="49" t="s">
        <v>690</v>
      </c>
      <c r="B62" s="262" t="s">
        <v>692</v>
      </c>
      <c r="C62" s="107"/>
      <c r="D62" s="12">
        <v>5526.36</v>
      </c>
      <c r="E62" s="525"/>
      <c r="F62" s="526">
        <v>3084.68</v>
      </c>
      <c r="G62" s="14"/>
      <c r="H62" s="12"/>
      <c r="I62" s="9"/>
      <c r="J62" s="52"/>
      <c r="K62" s="14"/>
      <c r="L62" s="12"/>
      <c r="M62" s="14"/>
      <c r="N62" s="52"/>
      <c r="O62" s="121"/>
      <c r="P62" s="122">
        <f t="shared" si="1"/>
        <v>8611.039999999999</v>
      </c>
      <c r="Q62" s="55"/>
    </row>
    <row r="63" spans="1:17" s="29" customFormat="1" ht="12.75">
      <c r="A63" s="49" t="s">
        <v>691</v>
      </c>
      <c r="B63" s="262" t="s">
        <v>693</v>
      </c>
      <c r="C63" s="107"/>
      <c r="D63" s="12">
        <v>2084.67</v>
      </c>
      <c r="E63" s="525"/>
      <c r="F63" s="526">
        <v>408.33</v>
      </c>
      <c r="G63" s="14"/>
      <c r="H63" s="12"/>
      <c r="I63" s="9"/>
      <c r="J63" s="52"/>
      <c r="K63" s="14"/>
      <c r="L63" s="12"/>
      <c r="M63" s="14"/>
      <c r="N63" s="52"/>
      <c r="O63" s="121"/>
      <c r="P63" s="122">
        <f t="shared" si="1"/>
        <v>2493</v>
      </c>
      <c r="Q63" s="55"/>
    </row>
    <row r="64" spans="1:17" s="29" customFormat="1" ht="12.75">
      <c r="A64" s="49" t="s">
        <v>47</v>
      </c>
      <c r="B64" s="262" t="s">
        <v>137</v>
      </c>
      <c r="C64" s="107"/>
      <c r="D64" s="12">
        <v>1788.25</v>
      </c>
      <c r="E64" s="525"/>
      <c r="F64" s="526">
        <v>9778.66</v>
      </c>
      <c r="G64" s="14"/>
      <c r="H64" s="12"/>
      <c r="I64" s="9"/>
      <c r="J64" s="52"/>
      <c r="K64" s="14"/>
      <c r="L64" s="12"/>
      <c r="M64" s="14"/>
      <c r="N64" s="52"/>
      <c r="O64" s="121"/>
      <c r="P64" s="122">
        <f t="shared" si="1"/>
        <v>11566.91</v>
      </c>
      <c r="Q64" s="55"/>
    </row>
    <row r="65" spans="1:17" s="29" customFormat="1" ht="12.75">
      <c r="A65" s="74" t="s">
        <v>59</v>
      </c>
      <c r="B65" s="264" t="s">
        <v>138</v>
      </c>
      <c r="C65" s="107"/>
      <c r="D65" s="12">
        <v>0</v>
      </c>
      <c r="E65" s="525">
        <v>49634.48</v>
      </c>
      <c r="F65" s="526">
        <v>173908.14</v>
      </c>
      <c r="G65" s="14"/>
      <c r="H65" s="12"/>
      <c r="I65" s="9"/>
      <c r="J65" s="52"/>
      <c r="K65" s="14"/>
      <c r="L65" s="12"/>
      <c r="M65" s="14"/>
      <c r="N65" s="52"/>
      <c r="O65" s="121"/>
      <c r="P65" s="122">
        <f t="shared" si="1"/>
        <v>124273.66</v>
      </c>
      <c r="Q65" s="55"/>
    </row>
    <row r="66" spans="1:17" s="29" customFormat="1" ht="12.75">
      <c r="A66" s="49" t="s">
        <v>17</v>
      </c>
      <c r="B66" s="262" t="s">
        <v>139</v>
      </c>
      <c r="C66" s="107"/>
      <c r="D66" s="12">
        <v>0</v>
      </c>
      <c r="E66" s="525"/>
      <c r="F66" s="526"/>
      <c r="G66" s="14"/>
      <c r="H66" s="12"/>
      <c r="I66" s="9"/>
      <c r="J66" s="52"/>
      <c r="K66" s="14"/>
      <c r="L66" s="12"/>
      <c r="M66" s="14"/>
      <c r="N66" s="52"/>
      <c r="O66" s="121"/>
      <c r="P66" s="122">
        <f t="shared" si="1"/>
        <v>0</v>
      </c>
      <c r="Q66" s="55"/>
    </row>
    <row r="67" spans="1:16" s="29" customFormat="1" ht="12.75">
      <c r="A67" s="8"/>
      <c r="B67" s="249"/>
      <c r="C67" s="107"/>
      <c r="D67" s="12"/>
      <c r="E67" s="525"/>
      <c r="F67" s="526"/>
      <c r="G67" s="14"/>
      <c r="H67" s="12"/>
      <c r="I67" s="9"/>
      <c r="J67" s="52"/>
      <c r="K67" s="14"/>
      <c r="L67" s="12"/>
      <c r="M67" s="14"/>
      <c r="N67" s="52"/>
      <c r="O67" s="121"/>
      <c r="P67" s="122"/>
    </row>
    <row r="68" spans="1:16" s="29" customFormat="1" ht="12.75">
      <c r="A68" s="7" t="s">
        <v>32</v>
      </c>
      <c r="B68" s="249"/>
      <c r="C68" s="107"/>
      <c r="D68" s="12"/>
      <c r="E68" s="525"/>
      <c r="F68" s="526"/>
      <c r="G68" s="14"/>
      <c r="H68" s="12"/>
      <c r="I68" s="9"/>
      <c r="J68" s="52"/>
      <c r="K68" s="14"/>
      <c r="L68" s="12"/>
      <c r="M68" s="14"/>
      <c r="N68" s="52"/>
      <c r="O68" s="121"/>
      <c r="P68" s="122"/>
    </row>
    <row r="69" spans="1:17" s="29" customFormat="1" ht="12.75">
      <c r="A69" s="49" t="s">
        <v>18</v>
      </c>
      <c r="B69" s="262" t="s">
        <v>140</v>
      </c>
      <c r="C69" s="107"/>
      <c r="D69" s="12">
        <f>93587952.88</f>
        <v>93587952.88</v>
      </c>
      <c r="E69" s="525"/>
      <c r="F69" s="526"/>
      <c r="G69" s="14"/>
      <c r="H69" s="12"/>
      <c r="I69" s="9"/>
      <c r="J69" s="52"/>
      <c r="K69" s="14"/>
      <c r="L69" s="12"/>
      <c r="M69" s="14"/>
      <c r="N69" s="14">
        <v>94900</v>
      </c>
      <c r="O69" s="121"/>
      <c r="P69" s="122">
        <f>D69+F69+J69+N69+H69-E69-G69-I69-M69+L69-K69</f>
        <v>93682852.88</v>
      </c>
      <c r="Q69" s="55"/>
    </row>
    <row r="70" spans="1:16" s="29" customFormat="1" ht="12.75">
      <c r="A70" s="49" t="s">
        <v>142</v>
      </c>
      <c r="B70" s="249" t="s">
        <v>141</v>
      </c>
      <c r="C70" s="107"/>
      <c r="D70" s="12">
        <v>0</v>
      </c>
      <c r="E70" s="525"/>
      <c r="F70" s="526"/>
      <c r="G70" s="14"/>
      <c r="H70" s="12"/>
      <c r="I70" s="9"/>
      <c r="J70" s="52"/>
      <c r="K70" s="14"/>
      <c r="L70" s="12"/>
      <c r="M70" s="14"/>
      <c r="N70" s="14">
        <f>9373275+593892.66</f>
        <v>9967167.66</v>
      </c>
      <c r="O70" s="121"/>
      <c r="P70" s="122">
        <f>D70+F70+J70+N70+H70-E70-G70-I70-M70+L70-K70</f>
        <v>9967167.66</v>
      </c>
    </row>
    <row r="71" spans="1:16" s="29" customFormat="1" ht="12.75">
      <c r="A71" s="49" t="s">
        <v>673</v>
      </c>
      <c r="B71" s="249" t="s">
        <v>745</v>
      </c>
      <c r="C71" s="107"/>
      <c r="D71" s="12"/>
      <c r="E71" s="525"/>
      <c r="F71" s="526"/>
      <c r="G71" s="14"/>
      <c r="H71" s="12"/>
      <c r="I71" s="9"/>
      <c r="J71" s="52"/>
      <c r="K71" s="14"/>
      <c r="L71" s="12"/>
      <c r="M71" s="14"/>
      <c r="N71" s="9">
        <v>2268265.93</v>
      </c>
      <c r="O71" s="121"/>
      <c r="P71" s="122">
        <f>D71+F71+J71+N71+H71-E71-G71-I71-M71+L71-K71</f>
        <v>2268265.93</v>
      </c>
    </row>
    <row r="72" spans="1:16" s="29" customFormat="1" ht="12.75">
      <c r="A72" s="49"/>
      <c r="B72" s="249"/>
      <c r="C72" s="107"/>
      <c r="D72" s="12"/>
      <c r="E72" s="525"/>
      <c r="F72" s="526"/>
      <c r="G72" s="14"/>
      <c r="H72" s="12"/>
      <c r="I72" s="9"/>
      <c r="J72" s="52"/>
      <c r="K72" s="14"/>
      <c r="L72" s="12"/>
      <c r="M72" s="14"/>
      <c r="N72" s="52"/>
      <c r="O72" s="121"/>
      <c r="P72" s="122"/>
    </row>
    <row r="73" spans="1:17" s="29" customFormat="1" ht="12.75">
      <c r="A73" s="4" t="s">
        <v>19</v>
      </c>
      <c r="B73" s="248"/>
      <c r="C73" s="18"/>
      <c r="D73" s="12"/>
      <c r="E73" s="525"/>
      <c r="F73" s="526"/>
      <c r="G73" s="14"/>
      <c r="H73" s="12"/>
      <c r="I73" s="9"/>
      <c r="J73" s="52"/>
      <c r="K73" s="14"/>
      <c r="L73" s="12"/>
      <c r="M73" s="14"/>
      <c r="N73" s="52"/>
      <c r="O73" s="121">
        <f t="shared" si="0"/>
        <v>0</v>
      </c>
      <c r="P73" s="122"/>
      <c r="Q73" s="251"/>
    </row>
    <row r="74" spans="1:17" s="29" customFormat="1" ht="12.75">
      <c r="A74" s="23" t="s">
        <v>143</v>
      </c>
      <c r="B74" s="265" t="s">
        <v>144</v>
      </c>
      <c r="C74" s="18"/>
      <c r="D74" s="12"/>
      <c r="E74" s="525">
        <v>1188910</v>
      </c>
      <c r="F74" s="526"/>
      <c r="G74" s="14"/>
      <c r="H74" s="12"/>
      <c r="I74" s="9"/>
      <c r="J74" s="52"/>
      <c r="K74" s="14"/>
      <c r="L74" s="12"/>
      <c r="M74" s="52"/>
      <c r="N74" s="52"/>
      <c r="O74" s="121">
        <f t="shared" si="0"/>
        <v>1188910</v>
      </c>
      <c r="P74" s="122"/>
      <c r="Q74" s="251"/>
    </row>
    <row r="75" spans="1:17" s="29" customFormat="1" ht="12.75">
      <c r="A75" s="23" t="s">
        <v>20</v>
      </c>
      <c r="B75" s="265" t="s">
        <v>145</v>
      </c>
      <c r="C75" s="18"/>
      <c r="D75" s="12"/>
      <c r="E75" s="525">
        <v>42000</v>
      </c>
      <c r="F75" s="526"/>
      <c r="G75" s="27"/>
      <c r="H75" s="28"/>
      <c r="I75" s="25"/>
      <c r="J75" s="26"/>
      <c r="K75" s="27"/>
      <c r="L75" s="28"/>
      <c r="M75" s="27"/>
      <c r="N75" s="26"/>
      <c r="O75" s="121">
        <f t="shared" si="0"/>
        <v>42000</v>
      </c>
      <c r="P75" s="122"/>
      <c r="Q75" s="251"/>
    </row>
    <row r="76" spans="1:17" s="29" customFormat="1" ht="12.75">
      <c r="A76" s="23" t="s">
        <v>21</v>
      </c>
      <c r="B76" s="265" t="s">
        <v>146</v>
      </c>
      <c r="C76" s="18"/>
      <c r="D76" s="12"/>
      <c r="E76" s="525">
        <v>19000</v>
      </c>
      <c r="F76" s="526"/>
      <c r="G76" s="27"/>
      <c r="H76" s="28"/>
      <c r="I76" s="25"/>
      <c r="J76" s="26"/>
      <c r="K76" s="27"/>
      <c r="L76" s="28"/>
      <c r="M76" s="27"/>
      <c r="N76" s="26"/>
      <c r="O76" s="121">
        <f t="shared" si="0"/>
        <v>19000</v>
      </c>
      <c r="P76" s="62"/>
      <c r="Q76" s="251"/>
    </row>
    <row r="77" spans="1:17" s="29" customFormat="1" ht="12.75">
      <c r="A77" s="23" t="s">
        <v>22</v>
      </c>
      <c r="B77" s="265" t="s">
        <v>147</v>
      </c>
      <c r="C77" s="18"/>
      <c r="D77" s="12"/>
      <c r="E77" s="525">
        <v>19000</v>
      </c>
      <c r="F77" s="526"/>
      <c r="G77" s="27"/>
      <c r="H77" s="28"/>
      <c r="I77" s="25"/>
      <c r="J77" s="26"/>
      <c r="K77" s="27"/>
      <c r="L77" s="28"/>
      <c r="M77" s="27"/>
      <c r="N77" s="26"/>
      <c r="O77" s="121">
        <f t="shared" si="0"/>
        <v>19000</v>
      </c>
      <c r="P77" s="62"/>
      <c r="Q77" s="251"/>
    </row>
    <row r="78" spans="1:17" s="29" customFormat="1" ht="12.75">
      <c r="A78" s="23" t="s">
        <v>67</v>
      </c>
      <c r="B78" s="265" t="s">
        <v>527</v>
      </c>
      <c r="C78" s="18"/>
      <c r="D78" s="12"/>
      <c r="E78" s="525"/>
      <c r="F78" s="526"/>
      <c r="G78" s="27"/>
      <c r="H78" s="28"/>
      <c r="I78" s="25"/>
      <c r="J78" s="26"/>
      <c r="K78" s="27"/>
      <c r="L78" s="28"/>
      <c r="M78" s="27"/>
      <c r="N78" s="26"/>
      <c r="O78" s="121">
        <f t="shared" si="0"/>
        <v>0</v>
      </c>
      <c r="P78" s="62"/>
      <c r="Q78" s="251"/>
    </row>
    <row r="79" spans="1:17" s="29" customFormat="1" ht="13.5" customHeight="1">
      <c r="A79" s="23" t="s">
        <v>149</v>
      </c>
      <c r="B79" s="265" t="s">
        <v>148</v>
      </c>
      <c r="C79" s="18"/>
      <c r="D79" s="12"/>
      <c r="E79" s="525"/>
      <c r="F79" s="526"/>
      <c r="G79" s="27"/>
      <c r="H79" s="28"/>
      <c r="I79" s="25"/>
      <c r="J79" s="26"/>
      <c r="K79" s="27"/>
      <c r="L79" s="28"/>
      <c r="M79" s="27"/>
      <c r="N79" s="26"/>
      <c r="O79" s="121">
        <f t="shared" si="0"/>
        <v>0</v>
      </c>
      <c r="P79" s="62"/>
      <c r="Q79" s="251"/>
    </row>
    <row r="80" spans="1:17" s="29" customFormat="1" ht="12.75" customHeight="1">
      <c r="A80" s="23" t="s">
        <v>66</v>
      </c>
      <c r="B80" s="265" t="s">
        <v>150</v>
      </c>
      <c r="C80" s="18"/>
      <c r="D80" s="12"/>
      <c r="E80" s="525"/>
      <c r="F80" s="526"/>
      <c r="G80" s="27"/>
      <c r="H80" s="28"/>
      <c r="I80" s="25"/>
      <c r="J80" s="26"/>
      <c r="K80" s="27"/>
      <c r="L80" s="28"/>
      <c r="M80" s="27"/>
      <c r="N80" s="26"/>
      <c r="O80" s="121">
        <f t="shared" si="0"/>
        <v>0</v>
      </c>
      <c r="P80" s="62"/>
      <c r="Q80" s="251"/>
    </row>
    <row r="81" spans="1:17" s="29" customFormat="1" ht="12.75">
      <c r="A81" s="23" t="s">
        <v>221</v>
      </c>
      <c r="B81" s="265" t="s">
        <v>537</v>
      </c>
      <c r="C81" s="18"/>
      <c r="D81" s="12"/>
      <c r="E81" s="525"/>
      <c r="F81" s="526"/>
      <c r="G81" s="27"/>
      <c r="H81" s="28"/>
      <c r="I81" s="25"/>
      <c r="J81" s="26"/>
      <c r="K81" s="27"/>
      <c r="L81" s="28"/>
      <c r="M81" s="27"/>
      <c r="N81" s="26"/>
      <c r="O81" s="121">
        <f t="shared" si="0"/>
        <v>0</v>
      </c>
      <c r="P81" s="62"/>
      <c r="Q81" s="251"/>
    </row>
    <row r="82" spans="1:17" s="29" customFormat="1" ht="12.75">
      <c r="A82" s="23" t="s">
        <v>76</v>
      </c>
      <c r="B82" s="265" t="s">
        <v>153</v>
      </c>
      <c r="C82" s="18"/>
      <c r="D82" s="12"/>
      <c r="E82" s="525"/>
      <c r="F82" s="526"/>
      <c r="G82" s="27"/>
      <c r="H82" s="28"/>
      <c r="I82" s="25"/>
      <c r="J82" s="26"/>
      <c r="K82" s="27"/>
      <c r="L82" s="28"/>
      <c r="M82" s="27"/>
      <c r="N82" s="26"/>
      <c r="O82" s="121">
        <f t="shared" si="0"/>
        <v>0</v>
      </c>
      <c r="P82" s="62"/>
      <c r="Q82" s="251"/>
    </row>
    <row r="83" spans="1:17" s="29" customFormat="1" ht="12.75">
      <c r="A83" s="23" t="s">
        <v>242</v>
      </c>
      <c r="B83" s="265" t="s">
        <v>234</v>
      </c>
      <c r="C83" s="18"/>
      <c r="D83" s="12"/>
      <c r="E83" s="525"/>
      <c r="F83" s="526"/>
      <c r="G83" s="27"/>
      <c r="H83" s="28"/>
      <c r="I83" s="25"/>
      <c r="J83" s="26"/>
      <c r="K83" s="27"/>
      <c r="L83" s="28"/>
      <c r="M83" s="27"/>
      <c r="N83" s="26"/>
      <c r="O83" s="121">
        <f t="shared" si="0"/>
        <v>0</v>
      </c>
      <c r="P83" s="62"/>
      <c r="Q83" s="251"/>
    </row>
    <row r="84" spans="1:17" s="29" customFormat="1" ht="12.75">
      <c r="A84" s="23" t="s">
        <v>75</v>
      </c>
      <c r="B84" s="265" t="s">
        <v>152</v>
      </c>
      <c r="C84" s="18"/>
      <c r="D84" s="12"/>
      <c r="E84" s="525"/>
      <c r="F84" s="526"/>
      <c r="G84" s="27"/>
      <c r="H84" s="28"/>
      <c r="I84" s="25"/>
      <c r="J84" s="26"/>
      <c r="K84" s="27"/>
      <c r="L84" s="28"/>
      <c r="M84" s="27"/>
      <c r="N84" s="26"/>
      <c r="O84" s="121">
        <f t="shared" si="0"/>
        <v>0</v>
      </c>
      <c r="P84" s="62"/>
      <c r="Q84" s="251"/>
    </row>
    <row r="85" spans="1:17" s="29" customFormat="1" ht="12.75">
      <c r="A85" s="23" t="s">
        <v>70</v>
      </c>
      <c r="B85" s="265" t="s">
        <v>151</v>
      </c>
      <c r="C85" s="18"/>
      <c r="D85" s="12"/>
      <c r="E85" s="525"/>
      <c r="F85" s="526"/>
      <c r="G85" s="27"/>
      <c r="H85" s="28"/>
      <c r="I85" s="25"/>
      <c r="J85" s="26"/>
      <c r="K85" s="27"/>
      <c r="L85" s="28"/>
      <c r="M85" s="27"/>
      <c r="N85" s="26"/>
      <c r="O85" s="121">
        <f t="shared" si="0"/>
        <v>0</v>
      </c>
      <c r="P85" s="62"/>
      <c r="Q85" s="251"/>
    </row>
    <row r="86" spans="1:17" s="29" customFormat="1" ht="12.75">
      <c r="A86" s="23" t="s">
        <v>562</v>
      </c>
      <c r="B86" s="265" t="s">
        <v>563</v>
      </c>
      <c r="C86" s="18"/>
      <c r="D86" s="12"/>
      <c r="E86" s="525">
        <v>18000</v>
      </c>
      <c r="F86" s="526"/>
      <c r="G86" s="27"/>
      <c r="H86" s="28"/>
      <c r="I86" s="25"/>
      <c r="J86" s="26"/>
      <c r="K86" s="27"/>
      <c r="L86" s="28"/>
      <c r="M86" s="27"/>
      <c r="N86" s="26"/>
      <c r="O86" s="121">
        <f t="shared" si="0"/>
        <v>18000</v>
      </c>
      <c r="P86" s="62"/>
      <c r="Q86" s="251"/>
    </row>
    <row r="87" spans="1:17" s="29" customFormat="1" ht="12.75">
      <c r="A87" s="23" t="s">
        <v>564</v>
      </c>
      <c r="B87" s="265" t="s">
        <v>565</v>
      </c>
      <c r="C87" s="18"/>
      <c r="D87" s="12"/>
      <c r="E87" s="525"/>
      <c r="F87" s="526"/>
      <c r="G87" s="27"/>
      <c r="H87" s="28"/>
      <c r="I87" s="25"/>
      <c r="J87" s="26"/>
      <c r="K87" s="27"/>
      <c r="L87" s="28"/>
      <c r="M87" s="27"/>
      <c r="N87" s="26"/>
      <c r="O87" s="121">
        <f t="shared" si="0"/>
        <v>0</v>
      </c>
      <c r="P87" s="62"/>
      <c r="Q87" s="251"/>
    </row>
    <row r="88" spans="1:17" s="29" customFormat="1" ht="12.75">
      <c r="A88" s="23" t="s">
        <v>553</v>
      </c>
      <c r="B88" s="265" t="s">
        <v>554</v>
      </c>
      <c r="C88" s="18"/>
      <c r="D88" s="12"/>
      <c r="E88" s="525"/>
      <c r="F88" s="526"/>
      <c r="G88" s="27"/>
      <c r="H88" s="28"/>
      <c r="I88" s="25"/>
      <c r="J88" s="26"/>
      <c r="K88" s="27"/>
      <c r="L88" s="28"/>
      <c r="M88" s="27"/>
      <c r="N88" s="26"/>
      <c r="O88" s="121">
        <f t="shared" si="0"/>
        <v>0</v>
      </c>
      <c r="P88" s="62"/>
      <c r="Q88" s="251"/>
    </row>
    <row r="89" spans="1:17" s="29" customFormat="1" ht="12.75" customHeight="1">
      <c r="A89" s="23" t="s">
        <v>33</v>
      </c>
      <c r="B89" s="265" t="s">
        <v>154</v>
      </c>
      <c r="C89" s="18"/>
      <c r="D89" s="12"/>
      <c r="E89" s="525"/>
      <c r="F89" s="526"/>
      <c r="G89" s="27"/>
      <c r="H89" s="28"/>
      <c r="I89" s="25"/>
      <c r="J89" s="26"/>
      <c r="K89" s="27"/>
      <c r="L89" s="28"/>
      <c r="M89" s="27"/>
      <c r="N89" s="26"/>
      <c r="O89" s="121">
        <f t="shared" si="0"/>
        <v>0</v>
      </c>
      <c r="P89" s="62"/>
      <c r="Q89" s="251"/>
    </row>
    <row r="90" spans="1:17" s="29" customFormat="1" ht="12.75">
      <c r="A90" s="23" t="s">
        <v>34</v>
      </c>
      <c r="B90" s="265" t="s">
        <v>155</v>
      </c>
      <c r="C90" s="18"/>
      <c r="D90" s="12"/>
      <c r="E90" s="525"/>
      <c r="F90" s="526"/>
      <c r="G90" s="27"/>
      <c r="H90" s="28"/>
      <c r="I90" s="25"/>
      <c r="J90" s="26"/>
      <c r="K90" s="27"/>
      <c r="L90" s="28"/>
      <c r="M90" s="27"/>
      <c r="N90" s="26"/>
      <c r="O90" s="121">
        <f t="shared" si="0"/>
        <v>0</v>
      </c>
      <c r="P90" s="62"/>
      <c r="Q90" s="251"/>
    </row>
    <row r="91" spans="1:17" s="29" customFormat="1" ht="12.75">
      <c r="A91" s="23" t="s">
        <v>35</v>
      </c>
      <c r="B91" s="265" t="s">
        <v>156</v>
      </c>
      <c r="C91" s="18"/>
      <c r="D91" s="12"/>
      <c r="E91" s="525"/>
      <c r="F91" s="526"/>
      <c r="G91" s="27"/>
      <c r="H91" s="28"/>
      <c r="I91" s="25"/>
      <c r="J91" s="26"/>
      <c r="K91" s="27"/>
      <c r="L91" s="28"/>
      <c r="M91" s="27"/>
      <c r="N91" s="26"/>
      <c r="O91" s="121">
        <f t="shared" si="0"/>
        <v>0</v>
      </c>
      <c r="P91" s="62"/>
      <c r="Q91" s="251"/>
    </row>
    <row r="92" spans="1:17" s="29" customFormat="1" ht="13.5" customHeight="1">
      <c r="A92" s="23" t="s">
        <v>36</v>
      </c>
      <c r="B92" s="265" t="s">
        <v>157</v>
      </c>
      <c r="C92" s="18"/>
      <c r="D92" s="12"/>
      <c r="E92" s="525"/>
      <c r="F92" s="526"/>
      <c r="G92" s="27"/>
      <c r="H92" s="28"/>
      <c r="I92" s="25"/>
      <c r="J92" s="26"/>
      <c r="K92" s="27"/>
      <c r="L92" s="28"/>
      <c r="M92" s="27"/>
      <c r="N92" s="26"/>
      <c r="O92" s="121">
        <f aca="true" t="shared" si="2" ref="O92:O155">C92+E92+I92+M92-D92-F92-J92-N92+G92-H92+K92-L92</f>
        <v>0</v>
      </c>
      <c r="P92" s="62"/>
      <c r="Q92" s="251"/>
    </row>
    <row r="93" spans="1:17" s="29" customFormat="1" ht="12.75">
      <c r="A93" s="23" t="s">
        <v>208</v>
      </c>
      <c r="B93" s="265" t="s">
        <v>207</v>
      </c>
      <c r="C93" s="18"/>
      <c r="D93" s="12"/>
      <c r="E93" s="525">
        <v>10000</v>
      </c>
      <c r="F93" s="526"/>
      <c r="G93" s="27"/>
      <c r="H93" s="28"/>
      <c r="I93" s="25"/>
      <c r="J93" s="26"/>
      <c r="K93" s="27"/>
      <c r="L93" s="28"/>
      <c r="M93" s="27"/>
      <c r="N93" s="26"/>
      <c r="O93" s="121">
        <f t="shared" si="2"/>
        <v>10000</v>
      </c>
      <c r="P93" s="62"/>
      <c r="Q93" s="251"/>
    </row>
    <row r="94" spans="1:17" s="29" customFormat="1" ht="12.75">
      <c r="A94" s="23" t="s">
        <v>98</v>
      </c>
      <c r="B94" s="265" t="s">
        <v>555</v>
      </c>
      <c r="C94" s="18"/>
      <c r="D94" s="12"/>
      <c r="E94" s="525"/>
      <c r="F94" s="526"/>
      <c r="G94" s="27"/>
      <c r="H94" s="28"/>
      <c r="I94" s="25"/>
      <c r="J94" s="26"/>
      <c r="K94" s="27"/>
      <c r="L94" s="28"/>
      <c r="M94" s="27"/>
      <c r="N94" s="26"/>
      <c r="O94" s="121">
        <f t="shared" si="2"/>
        <v>0</v>
      </c>
      <c r="P94" s="62"/>
      <c r="Q94" s="251"/>
    </row>
    <row r="95" spans="1:17" s="29" customFormat="1" ht="12.75">
      <c r="A95" s="23" t="s">
        <v>28</v>
      </c>
      <c r="B95" s="265" t="s">
        <v>158</v>
      </c>
      <c r="C95" s="18"/>
      <c r="D95" s="12"/>
      <c r="E95" s="525">
        <v>71643.7</v>
      </c>
      <c r="F95" s="526"/>
      <c r="G95" s="27"/>
      <c r="H95" s="28"/>
      <c r="I95" s="25"/>
      <c r="J95" s="26"/>
      <c r="K95" s="27"/>
      <c r="L95" s="28"/>
      <c r="M95" s="27">
        <f>14198+18888</f>
        <v>33086</v>
      </c>
      <c r="N95" s="26"/>
      <c r="O95" s="121">
        <f t="shared" si="2"/>
        <v>104729.7</v>
      </c>
      <c r="P95" s="62"/>
      <c r="Q95" s="251"/>
    </row>
    <row r="96" spans="1:17" s="29" customFormat="1" ht="12.75">
      <c r="A96" s="23" t="s">
        <v>243</v>
      </c>
      <c r="B96" s="265" t="s">
        <v>236</v>
      </c>
      <c r="C96" s="18"/>
      <c r="D96" s="12"/>
      <c r="E96" s="525"/>
      <c r="F96" s="526"/>
      <c r="G96" s="27"/>
      <c r="H96" s="28"/>
      <c r="I96" s="25"/>
      <c r="J96" s="26"/>
      <c r="K96" s="27"/>
      <c r="L96" s="28"/>
      <c r="M96" s="27"/>
      <c r="N96" s="26"/>
      <c r="O96" s="121">
        <f t="shared" si="2"/>
        <v>0</v>
      </c>
      <c r="P96" s="62"/>
      <c r="Q96" s="251"/>
    </row>
    <row r="97" spans="1:17" s="29" customFormat="1" ht="12.75">
      <c r="A97" s="23" t="s">
        <v>27</v>
      </c>
      <c r="B97" s="265" t="s">
        <v>159</v>
      </c>
      <c r="C97" s="18"/>
      <c r="D97" s="12"/>
      <c r="E97" s="525">
        <v>859331.25</v>
      </c>
      <c r="F97" s="526"/>
      <c r="G97" s="27"/>
      <c r="H97" s="28"/>
      <c r="I97" s="25"/>
      <c r="J97" s="26"/>
      <c r="K97" s="27"/>
      <c r="L97" s="28"/>
      <c r="M97" s="27"/>
      <c r="N97" s="26"/>
      <c r="O97" s="121">
        <f t="shared" si="2"/>
        <v>859331.25</v>
      </c>
      <c r="P97" s="62"/>
      <c r="Q97" s="251"/>
    </row>
    <row r="98" spans="1:17" s="29" customFormat="1" ht="12.75">
      <c r="A98" s="23" t="s">
        <v>160</v>
      </c>
      <c r="B98" s="265" t="s">
        <v>161</v>
      </c>
      <c r="C98" s="18"/>
      <c r="D98" s="12"/>
      <c r="E98" s="525"/>
      <c r="F98" s="526"/>
      <c r="G98" s="27"/>
      <c r="H98" s="28"/>
      <c r="I98" s="25"/>
      <c r="J98" s="26"/>
      <c r="K98" s="27"/>
      <c r="L98" s="28"/>
      <c r="M98" s="27"/>
      <c r="N98" s="26"/>
      <c r="O98" s="121">
        <f t="shared" si="2"/>
        <v>0</v>
      </c>
      <c r="P98" s="62"/>
      <c r="Q98" s="251"/>
    </row>
    <row r="99" spans="1:17" s="29" customFormat="1" ht="12.75">
      <c r="A99" s="23" t="s">
        <v>61</v>
      </c>
      <c r="B99" s="265" t="s">
        <v>162</v>
      </c>
      <c r="C99" s="18"/>
      <c r="D99" s="12"/>
      <c r="E99" s="525">
        <v>625</v>
      </c>
      <c r="F99" s="526"/>
      <c r="G99" s="27"/>
      <c r="H99" s="28"/>
      <c r="I99" s="25"/>
      <c r="J99" s="26"/>
      <c r="K99" s="27"/>
      <c r="L99" s="28"/>
      <c r="M99" s="27"/>
      <c r="N99" s="26"/>
      <c r="O99" s="121">
        <f t="shared" si="2"/>
        <v>625</v>
      </c>
      <c r="P99" s="62"/>
      <c r="Q99" s="251"/>
    </row>
    <row r="100" spans="1:17" s="29" customFormat="1" ht="12.75">
      <c r="A100" s="23" t="s">
        <v>56</v>
      </c>
      <c r="B100" s="265" t="s">
        <v>163</v>
      </c>
      <c r="C100" s="18"/>
      <c r="D100" s="12"/>
      <c r="E100" s="525"/>
      <c r="F100" s="526"/>
      <c r="G100" s="27"/>
      <c r="H100" s="28"/>
      <c r="I100" s="25"/>
      <c r="J100" s="26"/>
      <c r="K100" s="27"/>
      <c r="L100" s="28"/>
      <c r="M100" s="27"/>
      <c r="N100" s="26"/>
      <c r="O100" s="121">
        <f t="shared" si="2"/>
        <v>0</v>
      </c>
      <c r="P100" s="62"/>
      <c r="Q100" s="251"/>
    </row>
    <row r="101" spans="1:17" s="29" customFormat="1" ht="12.75">
      <c r="A101" s="23" t="s">
        <v>217</v>
      </c>
      <c r="B101" s="265" t="s">
        <v>218</v>
      </c>
      <c r="C101" s="18"/>
      <c r="D101" s="12"/>
      <c r="E101" s="525"/>
      <c r="F101" s="526"/>
      <c r="G101" s="27"/>
      <c r="H101" s="28"/>
      <c r="I101" s="25"/>
      <c r="J101" s="26"/>
      <c r="K101" s="27"/>
      <c r="L101" s="28"/>
      <c r="M101" s="27"/>
      <c r="N101" s="26"/>
      <c r="O101" s="121">
        <f t="shared" si="2"/>
        <v>0</v>
      </c>
      <c r="P101" s="62"/>
      <c r="Q101" s="251"/>
    </row>
    <row r="102" spans="1:17" s="29" customFormat="1" ht="12.75">
      <c r="A102" s="23" t="s">
        <v>164</v>
      </c>
      <c r="B102" s="265" t="s">
        <v>165</v>
      </c>
      <c r="C102" s="18"/>
      <c r="D102" s="12"/>
      <c r="E102" s="525">
        <v>5000</v>
      </c>
      <c r="F102" s="526"/>
      <c r="G102" s="27"/>
      <c r="H102" s="28"/>
      <c r="I102" s="25"/>
      <c r="J102" s="26"/>
      <c r="K102" s="27"/>
      <c r="L102" s="28"/>
      <c r="M102" s="27"/>
      <c r="N102" s="26"/>
      <c r="O102" s="121">
        <f t="shared" si="2"/>
        <v>5000</v>
      </c>
      <c r="P102" s="62"/>
      <c r="Q102" s="251"/>
    </row>
    <row r="103" spans="1:17" s="29" customFormat="1" ht="12.75">
      <c r="A103" s="23" t="s">
        <v>570</v>
      </c>
      <c r="B103" s="265" t="s">
        <v>556</v>
      </c>
      <c r="C103" s="18"/>
      <c r="D103" s="12"/>
      <c r="E103" s="525"/>
      <c r="F103" s="526"/>
      <c r="G103" s="27"/>
      <c r="H103" s="28"/>
      <c r="I103" s="25"/>
      <c r="J103" s="26"/>
      <c r="K103" s="27"/>
      <c r="L103" s="28"/>
      <c r="M103" s="27"/>
      <c r="N103" s="26"/>
      <c r="O103" s="121">
        <f t="shared" si="2"/>
        <v>0</v>
      </c>
      <c r="P103" s="62"/>
      <c r="Q103" s="251"/>
    </row>
    <row r="104" spans="1:17" s="29" customFormat="1" ht="12.75">
      <c r="A104" s="23" t="s">
        <v>535</v>
      </c>
      <c r="B104" s="265" t="s">
        <v>521</v>
      </c>
      <c r="C104" s="18"/>
      <c r="D104" s="12"/>
      <c r="E104" s="525"/>
      <c r="F104" s="526"/>
      <c r="G104" s="27"/>
      <c r="H104" s="28"/>
      <c r="I104" s="25"/>
      <c r="J104" s="26"/>
      <c r="K104" s="27"/>
      <c r="L104" s="28"/>
      <c r="M104" s="27"/>
      <c r="N104" s="26"/>
      <c r="O104" s="121">
        <f t="shared" si="2"/>
        <v>0</v>
      </c>
      <c r="P104" s="62"/>
      <c r="Q104" s="251"/>
    </row>
    <row r="105" spans="1:17" s="29" customFormat="1" ht="12.75">
      <c r="A105" s="23" t="s">
        <v>536</v>
      </c>
      <c r="B105" s="265" t="s">
        <v>522</v>
      </c>
      <c r="C105" s="18"/>
      <c r="D105" s="12"/>
      <c r="E105" s="525"/>
      <c r="F105" s="526"/>
      <c r="G105" s="27"/>
      <c r="H105" s="28"/>
      <c r="I105" s="25"/>
      <c r="J105" s="26"/>
      <c r="K105" s="27"/>
      <c r="L105" s="28"/>
      <c r="M105" s="27"/>
      <c r="N105" s="26"/>
      <c r="O105" s="121">
        <f t="shared" si="2"/>
        <v>0</v>
      </c>
      <c r="P105" s="62"/>
      <c r="Q105" s="251"/>
    </row>
    <row r="106" spans="1:17" s="29" customFormat="1" ht="12.75">
      <c r="A106" s="23" t="s">
        <v>571</v>
      </c>
      <c r="B106" s="265" t="s">
        <v>572</v>
      </c>
      <c r="C106" s="18"/>
      <c r="D106" s="12"/>
      <c r="E106" s="525"/>
      <c r="F106" s="526"/>
      <c r="G106" s="27"/>
      <c r="H106" s="28"/>
      <c r="I106" s="25"/>
      <c r="J106" s="26"/>
      <c r="K106" s="27"/>
      <c r="L106" s="28"/>
      <c r="M106" s="27"/>
      <c r="N106" s="26"/>
      <c r="O106" s="121">
        <f t="shared" si="2"/>
        <v>0</v>
      </c>
      <c r="P106" s="62"/>
      <c r="Q106" s="251"/>
    </row>
    <row r="107" spans="1:17" s="29" customFormat="1" ht="12.75">
      <c r="A107" s="23" t="s">
        <v>573</v>
      </c>
      <c r="B107" s="265" t="s">
        <v>557</v>
      </c>
      <c r="C107" s="18"/>
      <c r="D107" s="12"/>
      <c r="E107" s="525"/>
      <c r="F107" s="526"/>
      <c r="G107" s="27"/>
      <c r="H107" s="28"/>
      <c r="I107" s="25"/>
      <c r="J107" s="26"/>
      <c r="K107" s="27"/>
      <c r="L107" s="28"/>
      <c r="M107" s="27"/>
      <c r="N107" s="26"/>
      <c r="O107" s="121">
        <f t="shared" si="2"/>
        <v>0</v>
      </c>
      <c r="P107" s="62"/>
      <c r="Q107" s="251"/>
    </row>
    <row r="108" spans="1:17" s="29" customFormat="1" ht="12.75">
      <c r="A108" s="23" t="s">
        <v>241</v>
      </c>
      <c r="B108" s="265" t="s">
        <v>235</v>
      </c>
      <c r="C108" s="18"/>
      <c r="D108" s="12"/>
      <c r="E108" s="525"/>
      <c r="F108" s="526"/>
      <c r="G108" s="27"/>
      <c r="H108" s="28"/>
      <c r="I108" s="25"/>
      <c r="J108" s="26"/>
      <c r="K108" s="27"/>
      <c r="L108" s="28"/>
      <c r="M108" s="27"/>
      <c r="N108" s="26"/>
      <c r="O108" s="121">
        <f t="shared" si="2"/>
        <v>0</v>
      </c>
      <c r="P108" s="62"/>
      <c r="Q108" s="251"/>
    </row>
    <row r="109" spans="1:17" s="29" customFormat="1" ht="12.75">
      <c r="A109" s="23" t="s">
        <v>166</v>
      </c>
      <c r="B109" s="265" t="s">
        <v>167</v>
      </c>
      <c r="C109" s="18"/>
      <c r="D109" s="12"/>
      <c r="E109" s="525"/>
      <c r="F109" s="526"/>
      <c r="G109" s="27"/>
      <c r="H109" s="28"/>
      <c r="I109" s="25"/>
      <c r="J109" s="26"/>
      <c r="K109" s="27"/>
      <c r="L109" s="28"/>
      <c r="M109" s="27"/>
      <c r="N109" s="26"/>
      <c r="O109" s="121">
        <f t="shared" si="2"/>
        <v>0</v>
      </c>
      <c r="P109" s="62"/>
      <c r="Q109" s="251"/>
    </row>
    <row r="110" spans="1:17" s="29" customFormat="1" ht="12.75">
      <c r="A110" s="23" t="s">
        <v>37</v>
      </c>
      <c r="B110" s="265" t="s">
        <v>168</v>
      </c>
      <c r="C110" s="18"/>
      <c r="D110" s="12"/>
      <c r="E110" s="525">
        <v>1165.6</v>
      </c>
      <c r="F110" s="526"/>
      <c r="G110" s="27"/>
      <c r="H110" s="28"/>
      <c r="I110" s="25"/>
      <c r="J110" s="26"/>
      <c r="K110" s="27"/>
      <c r="L110" s="28"/>
      <c r="M110" s="27"/>
      <c r="N110" s="26"/>
      <c r="O110" s="121">
        <f t="shared" si="2"/>
        <v>1165.6</v>
      </c>
      <c r="P110" s="62"/>
      <c r="Q110" s="251"/>
    </row>
    <row r="111" spans="1:17" s="29" customFormat="1" ht="12.75">
      <c r="A111" s="23" t="s">
        <v>43</v>
      </c>
      <c r="B111" s="265" t="s">
        <v>169</v>
      </c>
      <c r="C111" s="18"/>
      <c r="D111" s="12"/>
      <c r="E111" s="525">
        <v>15346.77</v>
      </c>
      <c r="F111" s="526"/>
      <c r="G111" s="27"/>
      <c r="H111" s="28"/>
      <c r="I111" s="25"/>
      <c r="J111" s="26"/>
      <c r="K111" s="27"/>
      <c r="L111" s="28"/>
      <c r="M111" s="27"/>
      <c r="N111" s="26"/>
      <c r="O111" s="121">
        <f t="shared" si="2"/>
        <v>15346.77</v>
      </c>
      <c r="P111" s="62"/>
      <c r="Q111" s="251"/>
    </row>
    <row r="112" spans="1:17" s="29" customFormat="1" ht="12.75">
      <c r="A112" s="23" t="s">
        <v>694</v>
      </c>
      <c r="B112" s="265" t="s">
        <v>695</v>
      </c>
      <c r="C112" s="18"/>
      <c r="D112" s="12"/>
      <c r="E112" s="525"/>
      <c r="F112" s="526"/>
      <c r="G112" s="27"/>
      <c r="H112" s="28"/>
      <c r="I112" s="25"/>
      <c r="J112" s="26"/>
      <c r="K112" s="27"/>
      <c r="L112" s="28"/>
      <c r="M112" s="27"/>
      <c r="N112" s="26"/>
      <c r="O112" s="121">
        <f t="shared" si="2"/>
        <v>0</v>
      </c>
      <c r="P112" s="62"/>
      <c r="Q112" s="468"/>
    </row>
    <row r="113" spans="1:17" s="29" customFormat="1" ht="12.75">
      <c r="A113" s="23" t="s">
        <v>29</v>
      </c>
      <c r="B113" s="265" t="s">
        <v>170</v>
      </c>
      <c r="C113" s="18"/>
      <c r="D113" s="12"/>
      <c r="E113" s="525">
        <v>10030</v>
      </c>
      <c r="F113" s="526"/>
      <c r="G113" s="27"/>
      <c r="H113" s="28"/>
      <c r="I113" s="25"/>
      <c r="J113" s="26"/>
      <c r="K113" s="27"/>
      <c r="L113" s="28"/>
      <c r="M113" s="27"/>
      <c r="N113" s="26"/>
      <c r="O113" s="121">
        <f t="shared" si="2"/>
        <v>10030</v>
      </c>
      <c r="P113" s="62"/>
      <c r="Q113" s="251"/>
    </row>
    <row r="114" spans="1:17" s="29" customFormat="1" ht="12.75">
      <c r="A114" s="23" t="s">
        <v>194</v>
      </c>
      <c r="B114" s="265" t="s">
        <v>196</v>
      </c>
      <c r="C114" s="18"/>
      <c r="D114" s="12"/>
      <c r="E114" s="525">
        <v>8000</v>
      </c>
      <c r="F114" s="526"/>
      <c r="G114" s="27"/>
      <c r="H114" s="28"/>
      <c r="I114" s="25"/>
      <c r="J114" s="26"/>
      <c r="K114" s="27"/>
      <c r="L114" s="28"/>
      <c r="M114" s="27"/>
      <c r="N114" s="26"/>
      <c r="O114" s="121">
        <f t="shared" si="2"/>
        <v>8000</v>
      </c>
      <c r="P114" s="62"/>
      <c r="Q114" s="251"/>
    </row>
    <row r="115" spans="1:17" s="29" customFormat="1" ht="12.75">
      <c r="A115" s="23" t="s">
        <v>195</v>
      </c>
      <c r="B115" s="265" t="s">
        <v>197</v>
      </c>
      <c r="C115" s="18"/>
      <c r="D115" s="12"/>
      <c r="E115" s="525">
        <v>4203.78</v>
      </c>
      <c r="F115" s="526"/>
      <c r="G115" s="27"/>
      <c r="H115" s="28"/>
      <c r="I115" s="25"/>
      <c r="J115" s="26"/>
      <c r="K115" s="27"/>
      <c r="L115" s="28"/>
      <c r="M115" s="27"/>
      <c r="N115" s="26"/>
      <c r="O115" s="121">
        <f t="shared" si="2"/>
        <v>4203.78</v>
      </c>
      <c r="P115" s="62"/>
      <c r="Q115" s="251"/>
    </row>
    <row r="116" spans="1:17" s="29" customFormat="1" ht="12.75">
      <c r="A116" s="23" t="s">
        <v>171</v>
      </c>
      <c r="B116" s="265" t="s">
        <v>172</v>
      </c>
      <c r="C116" s="18"/>
      <c r="D116" s="12"/>
      <c r="E116" s="525">
        <v>2057</v>
      </c>
      <c r="F116" s="526"/>
      <c r="G116" s="27"/>
      <c r="H116" s="28"/>
      <c r="I116" s="25"/>
      <c r="J116" s="26"/>
      <c r="K116" s="27"/>
      <c r="L116" s="28"/>
      <c r="M116" s="27"/>
      <c r="N116" s="26"/>
      <c r="O116" s="121">
        <f t="shared" si="2"/>
        <v>2057</v>
      </c>
      <c r="P116" s="62"/>
      <c r="Q116" s="251"/>
    </row>
    <row r="117" spans="1:17" s="29" customFormat="1" ht="12.75">
      <c r="A117" s="23" t="s">
        <v>51</v>
      </c>
      <c r="B117" s="265" t="s">
        <v>173</v>
      </c>
      <c r="C117" s="18"/>
      <c r="D117" s="12"/>
      <c r="E117" s="525"/>
      <c r="F117" s="526"/>
      <c r="G117" s="27"/>
      <c r="H117" s="28"/>
      <c r="I117" s="25"/>
      <c r="J117" s="26"/>
      <c r="K117" s="27"/>
      <c r="L117" s="28"/>
      <c r="M117" s="27"/>
      <c r="N117" s="26"/>
      <c r="O117" s="121">
        <f t="shared" si="2"/>
        <v>0</v>
      </c>
      <c r="P117" s="62"/>
      <c r="Q117" s="251"/>
    </row>
    <row r="118" spans="1:17" s="29" customFormat="1" ht="12.75">
      <c r="A118" s="23" t="s">
        <v>539</v>
      </c>
      <c r="B118" s="265" t="s">
        <v>538</v>
      </c>
      <c r="C118" s="18"/>
      <c r="D118" s="12"/>
      <c r="E118" s="525"/>
      <c r="F118" s="526"/>
      <c r="G118" s="27"/>
      <c r="H118" s="28"/>
      <c r="I118" s="25"/>
      <c r="J118" s="26"/>
      <c r="K118" s="27"/>
      <c r="L118" s="28"/>
      <c r="M118" s="27"/>
      <c r="N118" s="26"/>
      <c r="O118" s="121">
        <f t="shared" si="2"/>
        <v>0</v>
      </c>
      <c r="P118" s="62"/>
      <c r="Q118" s="251"/>
    </row>
    <row r="119" spans="1:17" s="29" customFormat="1" ht="12.75">
      <c r="A119" s="23" t="s">
        <v>193</v>
      </c>
      <c r="B119" s="265" t="s">
        <v>190</v>
      </c>
      <c r="C119" s="18"/>
      <c r="D119" s="12"/>
      <c r="E119" s="525">
        <v>9166.67</v>
      </c>
      <c r="F119" s="526"/>
      <c r="G119" s="27"/>
      <c r="H119" s="28"/>
      <c r="I119" s="25"/>
      <c r="J119" s="26"/>
      <c r="K119" s="27"/>
      <c r="L119" s="28"/>
      <c r="M119" s="27"/>
      <c r="N119" s="26"/>
      <c r="O119" s="121">
        <f t="shared" si="2"/>
        <v>9166.67</v>
      </c>
      <c r="P119" s="62"/>
      <c r="Q119" s="251"/>
    </row>
    <row r="120" spans="1:17" s="29" customFormat="1" ht="12.75">
      <c r="A120" s="23" t="s">
        <v>71</v>
      </c>
      <c r="B120" s="265" t="s">
        <v>178</v>
      </c>
      <c r="C120" s="18"/>
      <c r="D120" s="12"/>
      <c r="E120" s="525"/>
      <c r="F120" s="526"/>
      <c r="G120" s="27"/>
      <c r="H120" s="28"/>
      <c r="I120" s="25"/>
      <c r="J120" s="26"/>
      <c r="K120" s="27"/>
      <c r="L120" s="28"/>
      <c r="M120" s="27"/>
      <c r="N120" s="26"/>
      <c r="O120" s="121">
        <f t="shared" si="2"/>
        <v>0</v>
      </c>
      <c r="P120" s="62"/>
      <c r="Q120" s="251"/>
    </row>
    <row r="121" spans="1:17" s="29" customFormat="1" ht="12.75">
      <c r="A121" s="23" t="s">
        <v>30</v>
      </c>
      <c r="B121" s="265" t="s">
        <v>179</v>
      </c>
      <c r="C121" s="18"/>
      <c r="D121" s="12"/>
      <c r="E121" s="525"/>
      <c r="F121" s="526"/>
      <c r="G121" s="27"/>
      <c r="H121" s="28"/>
      <c r="I121" s="25"/>
      <c r="J121" s="26"/>
      <c r="K121" s="27"/>
      <c r="L121" s="28"/>
      <c r="M121" s="27"/>
      <c r="N121" s="26"/>
      <c r="O121" s="121">
        <f t="shared" si="2"/>
        <v>0</v>
      </c>
      <c r="P121" s="62"/>
      <c r="Q121" s="251"/>
    </row>
    <row r="122" spans="1:17" s="29" customFormat="1" ht="12.75">
      <c r="A122" s="23" t="s">
        <v>198</v>
      </c>
      <c r="B122" s="265" t="s">
        <v>199</v>
      </c>
      <c r="C122" s="18"/>
      <c r="D122" s="12"/>
      <c r="E122" s="525"/>
      <c r="F122" s="526"/>
      <c r="G122" s="27"/>
      <c r="H122" s="28"/>
      <c r="I122" s="25"/>
      <c r="J122" s="26"/>
      <c r="K122" s="27"/>
      <c r="L122" s="28"/>
      <c r="M122" s="27"/>
      <c r="N122" s="26"/>
      <c r="O122" s="121">
        <f t="shared" si="2"/>
        <v>0</v>
      </c>
      <c r="P122" s="62"/>
      <c r="Q122" s="251"/>
    </row>
    <row r="123" spans="1:17" s="29" customFormat="1" ht="12.75">
      <c r="A123" s="23" t="s">
        <v>72</v>
      </c>
      <c r="B123" s="265" t="s">
        <v>182</v>
      </c>
      <c r="C123" s="18"/>
      <c r="D123" s="12"/>
      <c r="E123" s="525"/>
      <c r="F123" s="526"/>
      <c r="G123" s="27"/>
      <c r="H123" s="28"/>
      <c r="I123" s="25"/>
      <c r="J123" s="26"/>
      <c r="K123" s="27"/>
      <c r="L123" s="28"/>
      <c r="M123" s="27"/>
      <c r="N123" s="26"/>
      <c r="O123" s="121">
        <f t="shared" si="2"/>
        <v>0</v>
      </c>
      <c r="P123" s="62"/>
      <c r="Q123" s="251"/>
    </row>
    <row r="124" spans="1:17" s="29" customFormat="1" ht="12.75">
      <c r="A124" s="23" t="s">
        <v>65</v>
      </c>
      <c r="B124" s="265" t="s">
        <v>183</v>
      </c>
      <c r="C124" s="18"/>
      <c r="D124" s="12"/>
      <c r="E124" s="525"/>
      <c r="F124" s="526"/>
      <c r="G124" s="27"/>
      <c r="H124" s="28"/>
      <c r="I124" s="25"/>
      <c r="J124" s="26"/>
      <c r="K124" s="27"/>
      <c r="L124" s="28"/>
      <c r="M124" s="27"/>
      <c r="N124" s="26"/>
      <c r="O124" s="121">
        <f t="shared" si="2"/>
        <v>0</v>
      </c>
      <c r="P124" s="62"/>
      <c r="Q124" s="251"/>
    </row>
    <row r="125" spans="1:17" s="29" customFormat="1" ht="12.75">
      <c r="A125" s="23" t="s">
        <v>180</v>
      </c>
      <c r="B125" s="265" t="s">
        <v>181</v>
      </c>
      <c r="C125" s="18"/>
      <c r="D125" s="12"/>
      <c r="E125" s="525"/>
      <c r="F125" s="526"/>
      <c r="G125" s="27"/>
      <c r="H125" s="28"/>
      <c r="I125" s="25"/>
      <c r="J125" s="26"/>
      <c r="K125" s="27"/>
      <c r="L125" s="28"/>
      <c r="M125" s="27"/>
      <c r="N125" s="26"/>
      <c r="O125" s="121">
        <f t="shared" si="2"/>
        <v>0</v>
      </c>
      <c r="P125" s="62"/>
      <c r="Q125" s="251"/>
    </row>
    <row r="126" spans="1:17" s="29" customFormat="1" ht="12.75">
      <c r="A126" s="23" t="s">
        <v>184</v>
      </c>
      <c r="B126" s="265" t="s">
        <v>185</v>
      </c>
      <c r="C126" s="18"/>
      <c r="D126" s="12"/>
      <c r="E126" s="525"/>
      <c r="F126" s="526"/>
      <c r="G126" s="27"/>
      <c r="H126" s="28"/>
      <c r="I126" s="25"/>
      <c r="J126" s="26"/>
      <c r="K126" s="27"/>
      <c r="L126" s="28"/>
      <c r="M126" s="27"/>
      <c r="N126" s="26"/>
      <c r="O126" s="121">
        <f t="shared" si="2"/>
        <v>0</v>
      </c>
      <c r="P126" s="62"/>
      <c r="Q126" s="251"/>
    </row>
    <row r="127" spans="1:17" s="29" customFormat="1" ht="12.75">
      <c r="A127" s="23" t="s">
        <v>186</v>
      </c>
      <c r="B127" s="265" t="s">
        <v>204</v>
      </c>
      <c r="C127" s="18"/>
      <c r="D127" s="12"/>
      <c r="E127" s="525"/>
      <c r="F127" s="526"/>
      <c r="G127" s="27"/>
      <c r="H127" s="28"/>
      <c r="I127" s="25"/>
      <c r="J127" s="26"/>
      <c r="K127" s="27"/>
      <c r="L127" s="28"/>
      <c r="M127" s="27"/>
      <c r="N127" s="26"/>
      <c r="O127" s="121">
        <f t="shared" si="2"/>
        <v>0</v>
      </c>
      <c r="P127" s="62"/>
      <c r="Q127" s="251"/>
    </row>
    <row r="128" spans="1:17" s="29" customFormat="1" ht="12.75">
      <c r="A128" s="23" t="s">
        <v>219</v>
      </c>
      <c r="B128" s="265" t="s">
        <v>205</v>
      </c>
      <c r="C128" s="18"/>
      <c r="D128" s="12"/>
      <c r="E128" s="525">
        <v>4430</v>
      </c>
      <c r="F128" s="526"/>
      <c r="G128" s="27"/>
      <c r="H128" s="28"/>
      <c r="I128" s="25"/>
      <c r="J128" s="26"/>
      <c r="K128" s="27"/>
      <c r="L128" s="28"/>
      <c r="M128" s="27"/>
      <c r="N128" s="26"/>
      <c r="O128" s="121">
        <f t="shared" si="2"/>
        <v>4430</v>
      </c>
      <c r="P128" s="62"/>
      <c r="Q128" s="251"/>
    </row>
    <row r="129" spans="1:17" s="29" customFormat="1" ht="12.75">
      <c r="A129" s="23" t="s">
        <v>220</v>
      </c>
      <c r="B129" s="265" t="s">
        <v>206</v>
      </c>
      <c r="C129" s="18"/>
      <c r="D129" s="12"/>
      <c r="E129" s="525">
        <v>55510</v>
      </c>
      <c r="F129" s="526"/>
      <c r="G129" s="27"/>
      <c r="H129" s="28"/>
      <c r="I129" s="25"/>
      <c r="J129" s="26"/>
      <c r="K129" s="27"/>
      <c r="L129" s="28"/>
      <c r="M129" s="27"/>
      <c r="N129" s="26"/>
      <c r="O129" s="121">
        <f t="shared" si="2"/>
        <v>55510</v>
      </c>
      <c r="P129" s="62"/>
      <c r="Q129" s="251"/>
    </row>
    <row r="130" spans="1:17" s="29" customFormat="1" ht="12.75">
      <c r="A130" s="23" t="s">
        <v>584</v>
      </c>
      <c r="B130" s="265" t="s">
        <v>585</v>
      </c>
      <c r="C130" s="18"/>
      <c r="D130" s="12"/>
      <c r="E130" s="525"/>
      <c r="F130" s="526"/>
      <c r="G130" s="27"/>
      <c r="H130" s="28"/>
      <c r="I130" s="25"/>
      <c r="J130" s="26"/>
      <c r="K130" s="27"/>
      <c r="L130" s="28"/>
      <c r="M130" s="27"/>
      <c r="N130" s="26"/>
      <c r="O130" s="121">
        <f t="shared" si="2"/>
        <v>0</v>
      </c>
      <c r="P130" s="62"/>
      <c r="Q130" s="251"/>
    </row>
    <row r="131" spans="1:17" s="29" customFormat="1" ht="12.75">
      <c r="A131" s="23" t="s">
        <v>188</v>
      </c>
      <c r="B131" s="265" t="s">
        <v>189</v>
      </c>
      <c r="C131" s="18"/>
      <c r="D131" s="12"/>
      <c r="E131" s="525"/>
      <c r="F131" s="526"/>
      <c r="G131" s="27"/>
      <c r="H131" s="28"/>
      <c r="I131" s="25"/>
      <c r="J131" s="26"/>
      <c r="K131" s="27"/>
      <c r="L131" s="28"/>
      <c r="M131" s="27"/>
      <c r="N131" s="26"/>
      <c r="O131" s="121">
        <f t="shared" si="2"/>
        <v>0</v>
      </c>
      <c r="P131" s="62"/>
      <c r="Q131" s="251"/>
    </row>
    <row r="132" spans="1:17" s="29" customFormat="1" ht="12.75">
      <c r="A132" s="23" t="s">
        <v>229</v>
      </c>
      <c r="B132" s="265" t="s">
        <v>227</v>
      </c>
      <c r="C132" s="18"/>
      <c r="D132" s="12"/>
      <c r="E132" s="525">
        <v>2140</v>
      </c>
      <c r="F132" s="526"/>
      <c r="G132" s="27"/>
      <c r="H132" s="28"/>
      <c r="I132" s="25"/>
      <c r="J132" s="26"/>
      <c r="K132" s="27"/>
      <c r="L132" s="28"/>
      <c r="M132" s="27">
        <v>16500</v>
      </c>
      <c r="N132" s="26"/>
      <c r="O132" s="121">
        <f t="shared" si="2"/>
        <v>18640</v>
      </c>
      <c r="P132" s="62"/>
      <c r="Q132" s="251"/>
    </row>
    <row r="133" spans="1:17" s="29" customFormat="1" ht="12.75">
      <c r="A133" s="23" t="s">
        <v>64</v>
      </c>
      <c r="B133" s="265" t="s">
        <v>187</v>
      </c>
      <c r="C133" s="18"/>
      <c r="D133" s="12"/>
      <c r="E133" s="525"/>
      <c r="F133" s="526"/>
      <c r="G133" s="27"/>
      <c r="H133" s="28"/>
      <c r="I133" s="25"/>
      <c r="J133" s="26"/>
      <c r="K133" s="27"/>
      <c r="L133" s="28"/>
      <c r="M133" s="27"/>
      <c r="N133" s="26"/>
      <c r="O133" s="121">
        <f t="shared" si="2"/>
        <v>0</v>
      </c>
      <c r="P133" s="62"/>
      <c r="Q133" s="251"/>
    </row>
    <row r="134" spans="1:17" s="29" customFormat="1" ht="12.75">
      <c r="A134" s="23" t="s">
        <v>587</v>
      </c>
      <c r="B134" s="265" t="s">
        <v>586</v>
      </c>
      <c r="C134" s="18"/>
      <c r="D134" s="12"/>
      <c r="E134" s="525"/>
      <c r="F134" s="526"/>
      <c r="G134" s="27"/>
      <c r="H134" s="28"/>
      <c r="I134" s="25"/>
      <c r="J134" s="26"/>
      <c r="K134" s="27"/>
      <c r="L134" s="28"/>
      <c r="M134" s="27"/>
      <c r="N134" s="26"/>
      <c r="O134" s="121">
        <f t="shared" si="2"/>
        <v>0</v>
      </c>
      <c r="P134" s="62"/>
      <c r="Q134" s="251"/>
    </row>
    <row r="135" spans="1:17" s="29" customFormat="1" ht="12.75">
      <c r="A135" s="23" t="s">
        <v>233</v>
      </c>
      <c r="B135" s="265" t="s">
        <v>232</v>
      </c>
      <c r="C135" s="18"/>
      <c r="D135" s="12"/>
      <c r="E135" s="525">
        <v>2706015.01</v>
      </c>
      <c r="F135" s="526"/>
      <c r="G135" s="27"/>
      <c r="H135" s="28"/>
      <c r="I135" s="25"/>
      <c r="J135" s="26"/>
      <c r="K135" s="32"/>
      <c r="L135" s="28"/>
      <c r="M135" s="27"/>
      <c r="N135" s="26"/>
      <c r="O135" s="121">
        <f t="shared" si="2"/>
        <v>2706015.01</v>
      </c>
      <c r="P135" s="62"/>
      <c r="Q135" s="251"/>
    </row>
    <row r="136" spans="1:16" s="29" customFormat="1" ht="12.75">
      <c r="A136" s="23" t="s">
        <v>69</v>
      </c>
      <c r="B136" s="265" t="s">
        <v>191</v>
      </c>
      <c r="C136" s="18"/>
      <c r="D136" s="12"/>
      <c r="E136" s="525"/>
      <c r="F136" s="526"/>
      <c r="G136" s="27"/>
      <c r="H136" s="28"/>
      <c r="I136" s="25"/>
      <c r="J136" s="26"/>
      <c r="K136" s="27"/>
      <c r="L136" s="28"/>
      <c r="M136" s="27"/>
      <c r="N136" s="26"/>
      <c r="O136" s="121">
        <f t="shared" si="2"/>
        <v>0</v>
      </c>
      <c r="P136" s="62"/>
    </row>
    <row r="137" spans="1:16" s="29" customFormat="1" ht="12.75">
      <c r="A137" s="23" t="s">
        <v>211</v>
      </c>
      <c r="B137" s="265" t="s">
        <v>212</v>
      </c>
      <c r="C137" s="18"/>
      <c r="D137" s="12"/>
      <c r="E137" s="525"/>
      <c r="F137" s="526"/>
      <c r="G137" s="27"/>
      <c r="H137" s="28"/>
      <c r="I137" s="25"/>
      <c r="J137" s="26"/>
      <c r="K137" s="27"/>
      <c r="L137" s="28"/>
      <c r="M137" s="27"/>
      <c r="N137" s="26"/>
      <c r="O137" s="121">
        <f t="shared" si="2"/>
        <v>0</v>
      </c>
      <c r="P137" s="62"/>
    </row>
    <row r="138" spans="1:16" s="29" customFormat="1" ht="12.75">
      <c r="A138" s="23" t="s">
        <v>540</v>
      </c>
      <c r="B138" s="265" t="s">
        <v>523</v>
      </c>
      <c r="C138" s="18"/>
      <c r="D138" s="12"/>
      <c r="E138" s="525"/>
      <c r="F138" s="526"/>
      <c r="G138" s="27"/>
      <c r="H138" s="28"/>
      <c r="I138" s="25"/>
      <c r="J138" s="26"/>
      <c r="K138" s="27"/>
      <c r="L138" s="28"/>
      <c r="M138" s="27"/>
      <c r="N138" s="26"/>
      <c r="O138" s="121">
        <f t="shared" si="2"/>
        <v>0</v>
      </c>
      <c r="P138" s="62"/>
    </row>
    <row r="139" spans="1:16" s="29" customFormat="1" ht="12.75">
      <c r="A139" s="23" t="s">
        <v>73</v>
      </c>
      <c r="B139" s="265" t="s">
        <v>192</v>
      </c>
      <c r="C139" s="18"/>
      <c r="D139" s="12"/>
      <c r="E139" s="525">
        <v>17892.72</v>
      </c>
      <c r="F139" s="526"/>
      <c r="G139" s="27"/>
      <c r="H139" s="28"/>
      <c r="I139" s="25"/>
      <c r="J139" s="26"/>
      <c r="K139" s="27"/>
      <c r="L139" s="28"/>
      <c r="M139" s="27"/>
      <c r="N139" s="26"/>
      <c r="O139" s="121">
        <f t="shared" si="2"/>
        <v>17892.72</v>
      </c>
      <c r="P139" s="62"/>
    </row>
    <row r="140" spans="1:16" s="29" customFormat="1" ht="12.75">
      <c r="A140" s="23" t="s">
        <v>38</v>
      </c>
      <c r="B140" s="265" t="s">
        <v>175</v>
      </c>
      <c r="C140" s="18"/>
      <c r="D140" s="12"/>
      <c r="E140" s="525"/>
      <c r="F140" s="526"/>
      <c r="G140" s="27"/>
      <c r="H140" s="28"/>
      <c r="I140" s="25"/>
      <c r="J140" s="26"/>
      <c r="K140" s="27"/>
      <c r="L140" s="28"/>
      <c r="M140" s="27"/>
      <c r="N140" s="26"/>
      <c r="O140" s="121">
        <f t="shared" si="2"/>
        <v>0</v>
      </c>
      <c r="P140" s="62"/>
    </row>
    <row r="141" spans="1:16" s="29" customFormat="1" ht="12.75">
      <c r="A141" s="23" t="s">
        <v>62</v>
      </c>
      <c r="B141" s="265" t="s">
        <v>176</v>
      </c>
      <c r="C141" s="18"/>
      <c r="D141" s="12"/>
      <c r="E141" s="525"/>
      <c r="F141" s="526"/>
      <c r="G141" s="27"/>
      <c r="H141" s="28"/>
      <c r="I141" s="25"/>
      <c r="J141" s="26"/>
      <c r="K141" s="27"/>
      <c r="L141" s="28"/>
      <c r="M141" s="27"/>
      <c r="N141" s="26"/>
      <c r="O141" s="121">
        <f t="shared" si="2"/>
        <v>0</v>
      </c>
      <c r="P141" s="62"/>
    </row>
    <row r="142" spans="1:16" s="29" customFormat="1" ht="12.75">
      <c r="A142" s="23" t="s">
        <v>63</v>
      </c>
      <c r="B142" s="265" t="s">
        <v>177</v>
      </c>
      <c r="C142" s="18"/>
      <c r="D142" s="12"/>
      <c r="E142" s="525">
        <v>120</v>
      </c>
      <c r="F142" s="526"/>
      <c r="G142" s="27"/>
      <c r="H142" s="28"/>
      <c r="I142" s="25"/>
      <c r="J142" s="26"/>
      <c r="K142" s="27"/>
      <c r="L142" s="28"/>
      <c r="M142" s="27"/>
      <c r="N142" s="26"/>
      <c r="O142" s="121">
        <f t="shared" si="2"/>
        <v>120</v>
      </c>
      <c r="P142" s="62"/>
    </row>
    <row r="143" spans="1:16" s="29" customFormat="1" ht="12.75">
      <c r="A143" s="23" t="s">
        <v>560</v>
      </c>
      <c r="B143" s="265" t="s">
        <v>561</v>
      </c>
      <c r="C143" s="18"/>
      <c r="D143" s="12"/>
      <c r="E143" s="525"/>
      <c r="F143" s="526"/>
      <c r="G143" s="27"/>
      <c r="H143" s="28"/>
      <c r="I143" s="25"/>
      <c r="J143" s="26"/>
      <c r="K143" s="27"/>
      <c r="L143" s="28"/>
      <c r="M143" s="27"/>
      <c r="N143" s="26"/>
      <c r="O143" s="121">
        <f t="shared" si="2"/>
        <v>0</v>
      </c>
      <c r="P143" s="62"/>
    </row>
    <row r="144" spans="1:16" s="29" customFormat="1" ht="12.75">
      <c r="A144" s="23" t="s">
        <v>53</v>
      </c>
      <c r="B144" s="265" t="s">
        <v>528</v>
      </c>
      <c r="C144" s="18"/>
      <c r="D144" s="12"/>
      <c r="E144" s="525"/>
      <c r="F144" s="526"/>
      <c r="G144" s="27"/>
      <c r="H144" s="28"/>
      <c r="I144" s="25"/>
      <c r="J144" s="26"/>
      <c r="K144" s="27"/>
      <c r="L144" s="28"/>
      <c r="M144" s="27"/>
      <c r="N144" s="26"/>
      <c r="O144" s="121">
        <f t="shared" si="2"/>
        <v>0</v>
      </c>
      <c r="P144" s="62"/>
    </row>
    <row r="145" spans="1:16" s="29" customFormat="1" ht="12.75">
      <c r="A145" s="23" t="s">
        <v>68</v>
      </c>
      <c r="B145" s="265" t="s">
        <v>174</v>
      </c>
      <c r="C145" s="18"/>
      <c r="D145" s="12"/>
      <c r="E145" s="525"/>
      <c r="F145" s="526"/>
      <c r="G145" s="27"/>
      <c r="H145" s="28"/>
      <c r="I145" s="25"/>
      <c r="J145" s="26"/>
      <c r="K145" s="27"/>
      <c r="L145" s="28"/>
      <c r="M145" s="27"/>
      <c r="N145" s="26"/>
      <c r="O145" s="121">
        <f t="shared" si="2"/>
        <v>0</v>
      </c>
      <c r="P145" s="62"/>
    </row>
    <row r="146" spans="1:16" s="29" customFormat="1" ht="12.75">
      <c r="A146" s="23" t="s">
        <v>244</v>
      </c>
      <c r="B146" s="265" t="s">
        <v>237</v>
      </c>
      <c r="C146" s="18"/>
      <c r="D146" s="12"/>
      <c r="E146" s="525"/>
      <c r="F146" s="526"/>
      <c r="G146" s="27"/>
      <c r="H146" s="28"/>
      <c r="I146" s="25"/>
      <c r="J146" s="26"/>
      <c r="K146" s="27"/>
      <c r="L146" s="28"/>
      <c r="M146" s="27"/>
      <c r="N146" s="26"/>
      <c r="O146" s="121">
        <f t="shared" si="2"/>
        <v>0</v>
      </c>
      <c r="P146" s="62"/>
    </row>
    <row r="147" spans="1:16" ht="12.75">
      <c r="A147" s="23" t="s">
        <v>23</v>
      </c>
      <c r="B147" s="265" t="s">
        <v>524</v>
      </c>
      <c r="C147" s="18"/>
      <c r="D147" s="12"/>
      <c r="E147" s="525">
        <v>81799.88</v>
      </c>
      <c r="F147" s="526"/>
      <c r="G147" s="27"/>
      <c r="H147" s="28"/>
      <c r="I147" s="25"/>
      <c r="J147" s="26"/>
      <c r="K147" s="27"/>
      <c r="L147" s="28"/>
      <c r="M147" s="27">
        <v>25000</v>
      </c>
      <c r="N147" s="26"/>
      <c r="O147" s="121">
        <f t="shared" si="2"/>
        <v>106799.88</v>
      </c>
      <c r="P147" s="62"/>
    </row>
    <row r="148" spans="1:16" ht="13.5" thickBot="1">
      <c r="A148" s="23" t="s">
        <v>245</v>
      </c>
      <c r="B148" s="265" t="s">
        <v>525</v>
      </c>
      <c r="C148" s="18"/>
      <c r="D148" s="12"/>
      <c r="E148" s="525"/>
      <c r="F148" s="526"/>
      <c r="G148" s="27"/>
      <c r="H148" s="28"/>
      <c r="I148" s="25"/>
      <c r="J148" s="26"/>
      <c r="K148" s="27"/>
      <c r="L148" s="28"/>
      <c r="M148" s="27"/>
      <c r="N148" s="26"/>
      <c r="O148" s="121">
        <f t="shared" si="2"/>
        <v>0</v>
      </c>
      <c r="P148" s="62"/>
    </row>
    <row r="149" spans="1:16" ht="12.75" hidden="1">
      <c r="A149" s="8" t="s">
        <v>214</v>
      </c>
      <c r="B149" s="265" t="s">
        <v>574</v>
      </c>
      <c r="C149" s="18"/>
      <c r="D149" s="12"/>
      <c r="E149" s="25"/>
      <c r="F149" s="26"/>
      <c r="G149" s="27"/>
      <c r="H149" s="28"/>
      <c r="I149" s="25"/>
      <c r="J149" s="26"/>
      <c r="K149" s="27"/>
      <c r="L149" s="28"/>
      <c r="M149" s="27"/>
      <c r="N149" s="26"/>
      <c r="O149" s="121">
        <f t="shared" si="2"/>
        <v>0</v>
      </c>
      <c r="P149" s="62"/>
    </row>
    <row r="150" spans="1:16" ht="12.75" hidden="1">
      <c r="A150" s="8" t="s">
        <v>77</v>
      </c>
      <c r="B150" s="265" t="s">
        <v>575</v>
      </c>
      <c r="C150" s="18"/>
      <c r="D150" s="12"/>
      <c r="E150" s="25"/>
      <c r="F150" s="26"/>
      <c r="G150" s="27"/>
      <c r="H150" s="28"/>
      <c r="I150" s="25"/>
      <c r="J150" s="26"/>
      <c r="K150" s="27"/>
      <c r="L150" s="28"/>
      <c r="M150" s="27"/>
      <c r="N150" s="26"/>
      <c r="O150" s="121">
        <f t="shared" si="2"/>
        <v>0</v>
      </c>
      <c r="P150" s="62"/>
    </row>
    <row r="151" spans="1:16" ht="12.75" hidden="1">
      <c r="A151" s="8" t="s">
        <v>78</v>
      </c>
      <c r="B151" s="265" t="s">
        <v>576</v>
      </c>
      <c r="C151" s="18"/>
      <c r="D151" s="12"/>
      <c r="E151" s="25"/>
      <c r="F151" s="26"/>
      <c r="G151" s="27"/>
      <c r="H151" s="28"/>
      <c r="I151" s="25"/>
      <c r="J151" s="26"/>
      <c r="K151" s="27"/>
      <c r="L151" s="28"/>
      <c r="M151" s="27"/>
      <c r="N151" s="26"/>
      <c r="O151" s="121">
        <f t="shared" si="2"/>
        <v>0</v>
      </c>
      <c r="P151" s="62"/>
    </row>
    <row r="152" spans="1:16" ht="12.75" hidden="1">
      <c r="A152" s="8" t="s">
        <v>79</v>
      </c>
      <c r="B152" s="265" t="s">
        <v>577</v>
      </c>
      <c r="C152" s="18"/>
      <c r="D152" s="12"/>
      <c r="E152" s="25"/>
      <c r="F152" s="26"/>
      <c r="G152" s="27"/>
      <c r="H152" s="28"/>
      <c r="I152" s="25"/>
      <c r="J152" s="26"/>
      <c r="K152" s="27"/>
      <c r="L152" s="28"/>
      <c r="M152" s="27"/>
      <c r="N152" s="26"/>
      <c r="O152" s="121">
        <f t="shared" si="2"/>
        <v>0</v>
      </c>
      <c r="P152" s="62"/>
    </row>
    <row r="153" spans="1:16" ht="12.75" hidden="1">
      <c r="A153" s="8" t="s">
        <v>578</v>
      </c>
      <c r="B153" s="265" t="s">
        <v>579</v>
      </c>
      <c r="C153" s="18"/>
      <c r="D153" s="12"/>
      <c r="E153" s="25"/>
      <c r="F153" s="26"/>
      <c r="G153" s="27"/>
      <c r="H153" s="28"/>
      <c r="I153" s="25"/>
      <c r="J153" s="26"/>
      <c r="K153" s="27"/>
      <c r="L153" s="28"/>
      <c r="M153" s="27"/>
      <c r="N153" s="26"/>
      <c r="O153" s="121">
        <f t="shared" si="2"/>
        <v>0</v>
      </c>
      <c r="P153" s="62"/>
    </row>
    <row r="154" spans="1:16" ht="12.75" customHeight="1" hidden="1">
      <c r="A154" s="8" t="s">
        <v>580</v>
      </c>
      <c r="B154" s="265" t="s">
        <v>581</v>
      </c>
      <c r="C154" s="18"/>
      <c r="D154" s="12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121">
        <f t="shared" si="2"/>
        <v>0</v>
      </c>
      <c r="P154" s="62"/>
    </row>
    <row r="155" spans="1:16" ht="13.5" hidden="1" thickBot="1">
      <c r="A155" s="8" t="s">
        <v>82</v>
      </c>
      <c r="B155" s="265" t="s">
        <v>582</v>
      </c>
      <c r="C155" s="18"/>
      <c r="D155" s="12"/>
      <c r="E155" s="63"/>
      <c r="F155" s="25"/>
      <c r="G155" s="61"/>
      <c r="H155" s="62"/>
      <c r="I155" s="63"/>
      <c r="J155" s="25"/>
      <c r="K155" s="61"/>
      <c r="L155" s="62"/>
      <c r="M155" s="61"/>
      <c r="N155" s="25"/>
      <c r="O155" s="121">
        <f t="shared" si="2"/>
        <v>0</v>
      </c>
      <c r="P155" s="62"/>
    </row>
    <row r="156" spans="1:16" ht="15" customHeight="1" thickBot="1">
      <c r="A156" s="256"/>
      <c r="B156" s="268"/>
      <c r="C156" s="258">
        <f>SUM(C14:C155)</f>
        <v>96153824.48</v>
      </c>
      <c r="D156" s="258">
        <f>SUM(D14:D155)</f>
        <v>96153824.47999999</v>
      </c>
      <c r="E156" s="125">
        <f aca="true" t="shared" si="3" ref="E156:L156">SUM(E14:E154)</f>
        <v>5265155.859999999</v>
      </c>
      <c r="F156" s="126">
        <f t="shared" si="3"/>
        <v>5265155.86</v>
      </c>
      <c r="G156" s="125">
        <f>SUM(G14:G154)</f>
        <v>0</v>
      </c>
      <c r="H156" s="126">
        <f t="shared" si="3"/>
        <v>0</v>
      </c>
      <c r="I156" s="125">
        <f t="shared" si="3"/>
        <v>0</v>
      </c>
      <c r="J156" s="126">
        <f t="shared" si="3"/>
        <v>0</v>
      </c>
      <c r="K156" s="125">
        <f t="shared" si="3"/>
        <v>4933343.59</v>
      </c>
      <c r="L156" s="126">
        <f t="shared" si="3"/>
        <v>4933343.59</v>
      </c>
      <c r="M156" s="125">
        <f>SUM(M14:M155)</f>
        <v>13592932.01</v>
      </c>
      <c r="N156" s="127">
        <f>SUM(N16:N155)</f>
        <v>13592932.01</v>
      </c>
      <c r="O156" s="128">
        <f>SUM(O14:O155)</f>
        <v>109321591.33</v>
      </c>
      <c r="P156" s="129">
        <f>SUM(P14:P155)</f>
        <v>109321591.33</v>
      </c>
    </row>
    <row r="157" spans="4:16" ht="12.75">
      <c r="D157" s="31">
        <f>C156-D156</f>
        <v>0</v>
      </c>
      <c r="F157" s="31">
        <f>E156-F156</f>
        <v>0</v>
      </c>
      <c r="H157" s="31">
        <f>G156-H156</f>
        <v>0</v>
      </c>
      <c r="J157" s="31">
        <f>I156-J156</f>
        <v>0</v>
      </c>
      <c r="L157" s="31">
        <f>K156-L156</f>
        <v>0</v>
      </c>
      <c r="N157" s="31">
        <f>M156-N156</f>
        <v>0</v>
      </c>
      <c r="P157" s="31">
        <f>O156-P156</f>
        <v>0</v>
      </c>
    </row>
    <row r="159" spans="1:15" ht="12.75">
      <c r="A159" s="16" t="s">
        <v>25</v>
      </c>
      <c r="O159" s="1" t="s">
        <v>55</v>
      </c>
    </row>
    <row r="160" spans="1:15" ht="12.75">
      <c r="A160" s="16"/>
      <c r="O160" s="99"/>
    </row>
    <row r="161" spans="1:15" ht="12.75">
      <c r="A161" s="16"/>
      <c r="O161" s="100"/>
    </row>
    <row r="162" spans="1:15" ht="12.75">
      <c r="A162" s="17" t="s">
        <v>658</v>
      </c>
      <c r="O162" s="20" t="s">
        <v>696</v>
      </c>
    </row>
    <row r="163" spans="1:15" ht="12.75">
      <c r="A163" s="16" t="s">
        <v>697</v>
      </c>
      <c r="O163" s="1" t="s">
        <v>224</v>
      </c>
    </row>
  </sheetData>
  <sheetProtection/>
  <mergeCells count="16">
    <mergeCell ref="A10:A11"/>
    <mergeCell ref="A2:P2"/>
    <mergeCell ref="A5:P5"/>
    <mergeCell ref="A9:P9"/>
    <mergeCell ref="A3:P3"/>
    <mergeCell ref="A6:P6"/>
    <mergeCell ref="A7:P7"/>
    <mergeCell ref="A8:P8"/>
    <mergeCell ref="C10:D10"/>
    <mergeCell ref="E10:F10"/>
    <mergeCell ref="I10:J10"/>
    <mergeCell ref="M10:N10"/>
    <mergeCell ref="K10:L10"/>
    <mergeCell ref="P10:P11"/>
    <mergeCell ref="O10:O11"/>
    <mergeCell ref="G10:H10"/>
  </mergeCells>
  <printOptions horizontalCentered="1"/>
  <pageMargins left="0.17" right="0.17" top="0.12" bottom="0.12" header="0.18" footer="0.12"/>
  <pageSetup horizontalDpi="300" verticalDpi="300" orientation="portrait" paperSize="9" scale="95" r:id="rId1"/>
  <headerFooter alignWithMargins="0">
    <oddFooter>&amp;C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H3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22.421875" style="1" customWidth="1"/>
    <col min="4" max="4" width="16.57421875" style="1" customWidth="1"/>
    <col min="5" max="5" width="16.7109375" style="1" customWidth="1"/>
    <col min="6" max="16384" width="9.140625" style="1" customWidth="1"/>
  </cols>
  <sheetData>
    <row r="2" spans="1:5" ht="12.75">
      <c r="A2" s="551" t="s">
        <v>1</v>
      </c>
      <c r="B2" s="551"/>
      <c r="C2" s="551"/>
      <c r="D2" s="551"/>
      <c r="E2" s="87"/>
    </row>
    <row r="3" spans="1:5" ht="12.75">
      <c r="A3" s="551" t="s">
        <v>95</v>
      </c>
      <c r="B3" s="551"/>
      <c r="C3" s="551"/>
      <c r="D3" s="551"/>
      <c r="E3" s="87"/>
    </row>
    <row r="4" spans="1:5" ht="12.75">
      <c r="A4" s="552" t="s">
        <v>215</v>
      </c>
      <c r="B4" s="552"/>
      <c r="C4" s="552"/>
      <c r="D4" s="552"/>
      <c r="E4" s="16"/>
    </row>
    <row r="5" spans="1:5" ht="12.75">
      <c r="A5" s="552" t="s">
        <v>761</v>
      </c>
      <c r="B5" s="552"/>
      <c r="C5" s="552"/>
      <c r="D5" s="552"/>
      <c r="E5" s="16"/>
    </row>
    <row r="9" spans="1:5" ht="12.75">
      <c r="A9" s="214" t="s">
        <v>726</v>
      </c>
      <c r="B9" s="205"/>
      <c r="C9" s="205"/>
      <c r="D9" s="225">
        <f>'SCNAE 1st Qtr'!D9</f>
        <v>93587952.88</v>
      </c>
      <c r="E9" s="79"/>
    </row>
    <row r="10" spans="1:5" ht="12.75">
      <c r="A10" s="214" t="s">
        <v>358</v>
      </c>
      <c r="B10" s="205"/>
      <c r="C10" s="205"/>
      <c r="D10" s="237"/>
      <c r="E10" s="109"/>
    </row>
    <row r="11" spans="1:5" ht="12.75">
      <c r="A11" s="238" t="s">
        <v>359</v>
      </c>
      <c r="B11" s="215"/>
      <c r="C11" s="215"/>
      <c r="D11" s="237">
        <v>0</v>
      </c>
      <c r="E11" s="79"/>
    </row>
    <row r="12" spans="1:5" ht="12.75">
      <c r="A12" s="238" t="s">
        <v>360</v>
      </c>
      <c r="B12" s="215"/>
      <c r="C12" s="215"/>
      <c r="D12" s="237">
        <v>0</v>
      </c>
      <c r="E12" s="79"/>
    </row>
    <row r="13" spans="1:5" ht="12.75">
      <c r="A13" s="238" t="s">
        <v>361</v>
      </c>
      <c r="B13" s="215"/>
      <c r="C13" s="215"/>
      <c r="D13" s="239">
        <v>94900</v>
      </c>
      <c r="E13" s="79"/>
    </row>
    <row r="14" spans="1:5" ht="12.75">
      <c r="A14" s="240" t="s">
        <v>362</v>
      </c>
      <c r="B14" s="157"/>
      <c r="C14" s="157"/>
      <c r="D14" s="241">
        <f>+D9+D13</f>
        <v>93682852.88</v>
      </c>
      <c r="E14" s="79"/>
    </row>
    <row r="15" spans="1:5" ht="21" customHeight="1">
      <c r="A15" s="240"/>
      <c r="B15" s="157"/>
      <c r="C15" s="157"/>
      <c r="D15" s="242"/>
      <c r="E15" s="95"/>
    </row>
    <row r="16" spans="1:5" ht="12.75">
      <c r="A16" s="214" t="s">
        <v>358</v>
      </c>
      <c r="B16" s="157"/>
      <c r="C16" s="157"/>
      <c r="D16" s="242"/>
      <c r="E16" s="79"/>
    </row>
    <row r="17" spans="1:5" ht="12.75">
      <c r="A17" s="214" t="s">
        <v>363</v>
      </c>
      <c r="B17" s="205"/>
      <c r="C17" s="205"/>
      <c r="D17" s="242"/>
      <c r="E17" s="78"/>
    </row>
    <row r="18" spans="1:5" ht="12.75">
      <c r="A18" s="238" t="s">
        <v>364</v>
      </c>
      <c r="B18" s="215"/>
      <c r="C18" s="215"/>
      <c r="D18" s="242">
        <f>'DetSFPerf 2nd Qtr'!C145</f>
        <v>591647.5700000226</v>
      </c>
      <c r="E18" s="78"/>
    </row>
    <row r="19" spans="1:8" s="77" customFormat="1" ht="14.25">
      <c r="A19" s="238" t="s">
        <v>517</v>
      </c>
      <c r="B19" s="215"/>
      <c r="C19" s="215"/>
      <c r="D19" s="242">
        <v>0</v>
      </c>
      <c r="E19" s="78"/>
      <c r="F19" s="76"/>
      <c r="G19" s="76"/>
      <c r="H19" s="76"/>
    </row>
    <row r="20" spans="1:8" s="77" customFormat="1" ht="14.25">
      <c r="A20" s="238" t="s">
        <v>518</v>
      </c>
      <c r="B20" s="215"/>
      <c r="C20" s="215"/>
      <c r="D20" s="242">
        <v>0</v>
      </c>
      <c r="E20" s="87"/>
      <c r="F20" s="76"/>
      <c r="G20" s="76"/>
      <c r="H20" s="76"/>
    </row>
    <row r="21" spans="1:8" s="77" customFormat="1" ht="12.75">
      <c r="A21" s="213"/>
      <c r="B21" s="215"/>
      <c r="C21" s="215"/>
      <c r="D21" s="237"/>
      <c r="E21" s="16"/>
      <c r="F21" s="76"/>
      <c r="G21" s="76"/>
      <c r="H21" s="76"/>
    </row>
    <row r="22" spans="1:8" s="77" customFormat="1" ht="13.5" thickBot="1">
      <c r="A22" s="214" t="s">
        <v>766</v>
      </c>
      <c r="B22" s="205"/>
      <c r="C22" s="205"/>
      <c r="D22" s="224">
        <f>+D14+D18</f>
        <v>94274500.45000002</v>
      </c>
      <c r="E22" s="88"/>
      <c r="F22" s="76"/>
      <c r="G22" s="76"/>
      <c r="H22" s="76"/>
    </row>
    <row r="23" spans="1:8" s="77" customFormat="1" ht="13.5" thickTop="1">
      <c r="A23" s="16"/>
      <c r="C23" s="1"/>
      <c r="D23" s="89">
        <f>+D22-'DetSFP 2nd Qtr'!F141</f>
        <v>-583090.2999999821</v>
      </c>
      <c r="E23" s="88"/>
      <c r="F23" s="76"/>
      <c r="G23" s="76"/>
      <c r="H23" s="76"/>
    </row>
    <row r="24" ht="12.75">
      <c r="E24" s="78"/>
    </row>
    <row r="25" ht="12.75">
      <c r="E25" s="78"/>
    </row>
    <row r="26" spans="1:4" ht="12.75">
      <c r="A26" s="16" t="s">
        <v>25</v>
      </c>
      <c r="B26" s="77"/>
      <c r="D26" s="1" t="s">
        <v>55</v>
      </c>
    </row>
    <row r="27" spans="1:4" ht="12.75">
      <c r="A27" s="16"/>
      <c r="B27" s="77"/>
      <c r="C27" s="99"/>
      <c r="D27" s="99"/>
    </row>
    <row r="28" spans="1:4" ht="12.75">
      <c r="A28" s="16"/>
      <c r="B28" s="77"/>
      <c r="C28" s="100"/>
      <c r="D28" s="100"/>
    </row>
    <row r="29" spans="1:4" ht="12.75">
      <c r="A29" s="17" t="s">
        <v>658</v>
      </c>
      <c r="B29" s="77"/>
      <c r="C29" s="20"/>
      <c r="D29" s="20" t="s">
        <v>712</v>
      </c>
    </row>
    <row r="30" spans="1:4" ht="12.75">
      <c r="A30" s="16" t="s">
        <v>210</v>
      </c>
      <c r="B30" s="77"/>
      <c r="D30" s="1" t="s">
        <v>224</v>
      </c>
    </row>
  </sheetData>
  <sheetProtection/>
  <mergeCells count="4">
    <mergeCell ref="A2:D2"/>
    <mergeCell ref="A3:D3"/>
    <mergeCell ref="A4:D4"/>
    <mergeCell ref="A5:D5"/>
  </mergeCells>
  <printOptions horizontalCentered="1"/>
  <pageMargins left="0.64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3"/>
  <sheetViews>
    <sheetView zoomScalePageLayoutView="0" workbookViewId="0" topLeftCell="A1">
      <selection activeCell="A201" sqref="A201"/>
    </sheetView>
  </sheetViews>
  <sheetFormatPr defaultColWidth="9.140625" defaultRowHeight="12.75"/>
  <cols>
    <col min="1" max="1" width="4.00390625" style="77" customWidth="1"/>
    <col min="2" max="2" width="4.8515625" style="77" customWidth="1"/>
    <col min="3" max="3" width="62.28125" style="77" customWidth="1"/>
    <col min="4" max="4" width="20.57421875" style="77" customWidth="1"/>
    <col min="5" max="5" width="17.421875" style="77" hidden="1" customWidth="1"/>
    <col min="6" max="6" width="14.00390625" style="32" hidden="1" customWidth="1"/>
    <col min="7" max="7" width="18.421875" style="77" hidden="1" customWidth="1"/>
    <col min="8" max="16384" width="9.140625" style="77" customWidth="1"/>
  </cols>
  <sheetData>
    <row r="1" spans="1:5" ht="15">
      <c r="A1" s="555" t="s">
        <v>1</v>
      </c>
      <c r="B1" s="555"/>
      <c r="C1" s="555"/>
      <c r="D1" s="555"/>
      <c r="E1" s="555"/>
    </row>
    <row r="2" spans="1:5" ht="12.75">
      <c r="A2" s="551" t="s">
        <v>96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">
        <v>761</v>
      </c>
      <c r="B4" s="552"/>
      <c r="C4" s="552"/>
      <c r="D4" s="552"/>
      <c r="E4" s="552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94" t="s">
        <v>365</v>
      </c>
      <c r="B7" s="194"/>
      <c r="C7" s="194"/>
      <c r="D7" s="199"/>
      <c r="E7" s="1"/>
    </row>
    <row r="8" spans="1:5" ht="12.75">
      <c r="A8" s="194"/>
      <c r="B8" s="194"/>
      <c r="C8" s="194"/>
      <c r="D8" s="199"/>
      <c r="E8" s="1"/>
    </row>
    <row r="9" spans="1:5" ht="12.75">
      <c r="A9" s="195" t="s">
        <v>366</v>
      </c>
      <c r="B9" s="194"/>
      <c r="C9" s="194"/>
      <c r="D9" s="199"/>
      <c r="E9" s="79"/>
    </row>
    <row r="10" spans="1:5" ht="12.75">
      <c r="A10" s="200"/>
      <c r="B10" s="201" t="s">
        <v>367</v>
      </c>
      <c r="C10" s="201"/>
      <c r="D10" s="223">
        <f>D11+D12+D13</f>
        <v>84951342.69</v>
      </c>
      <c r="E10" s="92"/>
    </row>
    <row r="11" spans="1:5" ht="12.75">
      <c r="A11" s="200"/>
      <c r="B11" s="201"/>
      <c r="C11" s="201" t="s">
        <v>367</v>
      </c>
      <c r="D11" s="227">
        <v>61734457</v>
      </c>
      <c r="E11" s="92"/>
    </row>
    <row r="12" spans="1:5" ht="12.75">
      <c r="A12" s="200"/>
      <c r="B12" s="201"/>
      <c r="C12" s="201" t="s">
        <v>368</v>
      </c>
      <c r="D12" s="227">
        <v>20458708.35</v>
      </c>
      <c r="E12" s="95"/>
    </row>
    <row r="13" spans="1:5" ht="12.75">
      <c r="A13" s="200"/>
      <c r="B13" s="201"/>
      <c r="C13" s="201" t="s">
        <v>369</v>
      </c>
      <c r="D13" s="227">
        <v>2758177.34</v>
      </c>
      <c r="E13" s="79"/>
    </row>
    <row r="14" spans="1:5" ht="12.75">
      <c r="A14" s="200"/>
      <c r="B14" s="201"/>
      <c r="C14" s="201" t="s">
        <v>370</v>
      </c>
      <c r="D14" s="222">
        <v>0</v>
      </c>
      <c r="E14" s="79"/>
    </row>
    <row r="15" spans="1:5" ht="12.75">
      <c r="A15" s="200"/>
      <c r="B15" s="201"/>
      <c r="C15" s="201"/>
      <c r="D15" s="222"/>
      <c r="E15" s="76"/>
    </row>
    <row r="16" spans="1:5" ht="12.75">
      <c r="A16" s="200"/>
      <c r="B16" s="201"/>
      <c r="C16" s="201"/>
      <c r="D16" s="222"/>
      <c r="E16" s="76"/>
    </row>
    <row r="17" spans="1:7" ht="12.75">
      <c r="A17" s="200"/>
      <c r="B17" s="201" t="s">
        <v>752</v>
      </c>
      <c r="C17" s="201"/>
      <c r="D17" s="223">
        <f>D18</f>
        <v>15000</v>
      </c>
      <c r="E17" s="76" t="s">
        <v>546</v>
      </c>
      <c r="F17" s="32" t="s">
        <v>547</v>
      </c>
      <c r="G17" s="77" t="s">
        <v>548</v>
      </c>
    </row>
    <row r="18" spans="1:5" ht="12.75">
      <c r="A18" s="200"/>
      <c r="B18" s="201"/>
      <c r="C18" s="201" t="s">
        <v>753</v>
      </c>
      <c r="D18" s="222">
        <v>15000</v>
      </c>
      <c r="E18" s="76"/>
    </row>
    <row r="19" spans="1:7" ht="12.75">
      <c r="A19" s="200"/>
      <c r="B19" s="201"/>
      <c r="C19" s="201"/>
      <c r="D19" s="222"/>
      <c r="E19" s="227">
        <v>1786925.99</v>
      </c>
      <c r="F19" s="32">
        <v>5105127.24</v>
      </c>
      <c r="G19" s="77">
        <v>1904493.88</v>
      </c>
    </row>
    <row r="20" spans="1:7" ht="12.75">
      <c r="A20" s="200"/>
      <c r="B20" s="201"/>
      <c r="C20" s="201"/>
      <c r="D20" s="222"/>
      <c r="E20" s="227">
        <f>3531125.6-E19-E33-E35-E36-E51-E53</f>
        <v>1179190.59</v>
      </c>
      <c r="F20" s="227">
        <f>57013517.7-F21-F33-F35-F51-F53-F19</f>
        <v>51097337.660000004</v>
      </c>
      <c r="G20" s="227">
        <f>28253612.89-G19-G21-G35-G51-G53</f>
        <v>25120569.160000004</v>
      </c>
    </row>
    <row r="21" spans="1:7" ht="12.75">
      <c r="A21" s="209" t="s">
        <v>97</v>
      </c>
      <c r="B21" s="210"/>
      <c r="C21" s="195"/>
      <c r="D21" s="230">
        <f>+D10+D17</f>
        <v>84966342.69</v>
      </c>
      <c r="E21" s="227"/>
      <c r="F21" s="32">
        <v>400</v>
      </c>
      <c r="G21" s="77">
        <v>650</v>
      </c>
    </row>
    <row r="22" spans="1:5" ht="12.75">
      <c r="A22" s="195"/>
      <c r="B22" s="194"/>
      <c r="C22" s="194"/>
      <c r="D22" s="227"/>
      <c r="E22" s="227"/>
    </row>
    <row r="23" spans="1:5" ht="12.75">
      <c r="A23" s="195" t="s">
        <v>372</v>
      </c>
      <c r="B23" s="194"/>
      <c r="C23" s="194"/>
      <c r="D23" s="227"/>
      <c r="E23" s="227"/>
    </row>
    <row r="24" spans="1:5" ht="12.75">
      <c r="A24" s="200"/>
      <c r="B24" s="201" t="s">
        <v>373</v>
      </c>
      <c r="C24" s="201"/>
      <c r="D24" s="227"/>
      <c r="E24" s="227"/>
    </row>
    <row r="25" spans="1:5" ht="12.75">
      <c r="A25" s="200"/>
      <c r="B25" s="201"/>
      <c r="C25" s="201" t="s">
        <v>374</v>
      </c>
      <c r="D25" s="227">
        <v>11226421.76</v>
      </c>
      <c r="E25" s="227"/>
    </row>
    <row r="26" spans="1:5" ht="12.75">
      <c r="A26" s="200"/>
      <c r="B26" s="201"/>
      <c r="C26" s="201" t="s">
        <v>375</v>
      </c>
      <c r="D26" s="227">
        <v>71874362.34</v>
      </c>
      <c r="E26" s="227"/>
    </row>
    <row r="27" spans="1:5" ht="12.75">
      <c r="A27" s="200"/>
      <c r="B27" s="201"/>
      <c r="C27" s="201" t="s">
        <v>376</v>
      </c>
      <c r="D27" s="227">
        <f>'DetSFPerf 1st Qtr'!C125</f>
        <v>0</v>
      </c>
      <c r="E27" s="227"/>
    </row>
    <row r="28" spans="1:5" ht="12.75">
      <c r="A28" s="200"/>
      <c r="B28" s="201" t="s">
        <v>377</v>
      </c>
      <c r="C28" s="201"/>
      <c r="D28" s="227"/>
      <c r="E28" s="227"/>
    </row>
    <row r="29" spans="1:5" ht="12.75">
      <c r="A29" s="200"/>
      <c r="B29" s="201"/>
      <c r="C29" s="208" t="s">
        <v>378</v>
      </c>
      <c r="D29" s="227"/>
      <c r="E29" s="227"/>
    </row>
    <row r="30" spans="1:5" ht="12.75">
      <c r="A30" s="200"/>
      <c r="B30" s="201"/>
      <c r="C30" s="208" t="s">
        <v>379</v>
      </c>
      <c r="D30" s="227"/>
      <c r="E30" s="227"/>
    </row>
    <row r="31" spans="1:5" ht="12.75">
      <c r="A31" s="200"/>
      <c r="B31" s="201"/>
      <c r="C31" s="208" t="s">
        <v>380</v>
      </c>
      <c r="D31" s="227"/>
      <c r="E31" s="227"/>
    </row>
    <row r="32" spans="1:5" ht="12.75">
      <c r="A32" s="200"/>
      <c r="B32" s="201"/>
      <c r="C32" s="208" t="s">
        <v>381</v>
      </c>
      <c r="D32" s="227"/>
      <c r="E32" s="227"/>
    </row>
    <row r="33" spans="1:6" ht="12.75">
      <c r="A33" s="200"/>
      <c r="B33" s="192" t="s">
        <v>382</v>
      </c>
      <c r="C33" s="208"/>
      <c r="D33" s="227"/>
      <c r="E33" s="227">
        <v>4300</v>
      </c>
      <c r="F33" s="32">
        <v>4287</v>
      </c>
    </row>
    <row r="34" spans="1:5" ht="12.75">
      <c r="A34" s="200"/>
      <c r="B34" s="192"/>
      <c r="C34" s="208" t="s">
        <v>383</v>
      </c>
      <c r="D34" s="227"/>
      <c r="E34" s="227"/>
    </row>
    <row r="35" spans="1:7" ht="12.75">
      <c r="A35" s="200"/>
      <c r="B35" s="192"/>
      <c r="C35" s="208" t="s">
        <v>384</v>
      </c>
      <c r="D35" s="227"/>
      <c r="E35" s="227">
        <v>25000</v>
      </c>
      <c r="F35" s="32">
        <v>361000</v>
      </c>
      <c r="G35" s="77">
        <v>287000</v>
      </c>
    </row>
    <row r="36" spans="1:5" ht="12.75">
      <c r="A36" s="200"/>
      <c r="B36" s="192"/>
      <c r="C36" s="208" t="s">
        <v>385</v>
      </c>
      <c r="D36" s="227"/>
      <c r="E36" s="227">
        <v>2093</v>
      </c>
    </row>
    <row r="37" spans="1:5" ht="12.75">
      <c r="A37" s="200"/>
      <c r="B37" s="192"/>
      <c r="C37" s="208" t="s">
        <v>386</v>
      </c>
      <c r="D37" s="227"/>
      <c r="E37" s="227"/>
    </row>
    <row r="38" spans="1:5" ht="12.75">
      <c r="A38" s="200"/>
      <c r="B38" s="201" t="s">
        <v>387</v>
      </c>
      <c r="C38" s="192"/>
      <c r="D38" s="227"/>
      <c r="E38" s="227"/>
    </row>
    <row r="39" spans="1:5" ht="12.75">
      <c r="A39" s="200"/>
      <c r="B39" s="201"/>
      <c r="C39" s="192" t="s">
        <v>388</v>
      </c>
      <c r="D39" s="227">
        <v>240464.66</v>
      </c>
      <c r="E39" s="227"/>
    </row>
    <row r="40" spans="1:5" ht="12.75">
      <c r="A40" s="200"/>
      <c r="B40" s="201"/>
      <c r="C40" s="192" t="s">
        <v>389</v>
      </c>
      <c r="D40" s="227"/>
      <c r="E40" s="227"/>
    </row>
    <row r="41" spans="1:5" ht="12.75">
      <c r="A41" s="200"/>
      <c r="B41" s="201"/>
      <c r="C41" s="192" t="s">
        <v>201</v>
      </c>
      <c r="D41" s="227">
        <v>26099.95</v>
      </c>
      <c r="E41" s="227"/>
    </row>
    <row r="42" spans="1:5" ht="12.75">
      <c r="A42" s="200"/>
      <c r="B42" s="201"/>
      <c r="C42" s="192" t="s">
        <v>390</v>
      </c>
      <c r="D42" s="227">
        <v>85298</v>
      </c>
      <c r="E42" s="227"/>
    </row>
    <row r="43" spans="1:5" ht="12.75">
      <c r="A43" s="200"/>
      <c r="B43" s="201" t="s">
        <v>311</v>
      </c>
      <c r="C43" s="208"/>
      <c r="D43" s="227"/>
      <c r="E43" s="227"/>
    </row>
    <row r="44" spans="1:5" ht="12.75">
      <c r="A44" s="200"/>
      <c r="B44" s="201"/>
      <c r="C44" s="208" t="s">
        <v>391</v>
      </c>
      <c r="D44" s="227"/>
      <c r="E44" s="227"/>
    </row>
    <row r="45" spans="1:5" ht="12.75">
      <c r="A45" s="200"/>
      <c r="B45" s="201"/>
      <c r="C45" s="192" t="s">
        <v>52</v>
      </c>
      <c r="D45" s="227"/>
      <c r="E45" s="227"/>
    </row>
    <row r="46" spans="1:5" ht="12.75">
      <c r="A46" s="200"/>
      <c r="B46" s="201"/>
      <c r="C46" s="192" t="s">
        <v>312</v>
      </c>
      <c r="D46" s="227"/>
      <c r="E46" s="227"/>
    </row>
    <row r="47" spans="1:5" ht="12.75">
      <c r="A47" s="200"/>
      <c r="B47" s="201"/>
      <c r="C47" s="192" t="s">
        <v>313</v>
      </c>
      <c r="D47" s="227"/>
      <c r="E47" s="227"/>
    </row>
    <row r="48" spans="1:5" ht="12.75">
      <c r="A48" s="200"/>
      <c r="B48" s="201"/>
      <c r="C48" s="192" t="s">
        <v>314</v>
      </c>
      <c r="D48" s="227"/>
      <c r="E48" s="227"/>
    </row>
    <row r="49" spans="1:5" ht="12.75">
      <c r="A49" s="200"/>
      <c r="B49" s="201"/>
      <c r="C49" s="192" t="s">
        <v>315</v>
      </c>
      <c r="D49" s="227"/>
      <c r="E49" s="227"/>
    </row>
    <row r="50" spans="1:5" ht="12.75">
      <c r="A50" s="200"/>
      <c r="B50" s="208" t="s">
        <v>392</v>
      </c>
      <c r="C50" s="208"/>
      <c r="D50" s="227"/>
      <c r="E50" s="227"/>
    </row>
    <row r="51" spans="1:7" ht="12.75">
      <c r="A51" s="200"/>
      <c r="B51" s="208"/>
      <c r="C51" s="208" t="s">
        <v>393</v>
      </c>
      <c r="D51" s="227"/>
      <c r="E51" s="227">
        <v>391989.04</v>
      </c>
      <c r="F51" s="32">
        <v>323912.07</v>
      </c>
      <c r="G51" s="77">
        <v>816336.61</v>
      </c>
    </row>
    <row r="52" spans="1:5" ht="12.75">
      <c r="A52" s="200"/>
      <c r="B52" s="208"/>
      <c r="C52" s="192" t="s">
        <v>394</v>
      </c>
      <c r="D52" s="227"/>
      <c r="E52" s="227"/>
    </row>
    <row r="53" spans="1:7" ht="12.75">
      <c r="A53" s="200"/>
      <c r="B53" s="208"/>
      <c r="C53" s="208" t="s">
        <v>395</v>
      </c>
      <c r="D53" s="227"/>
      <c r="E53" s="223">
        <v>141626.98</v>
      </c>
      <c r="F53" s="91">
        <v>121453.73</v>
      </c>
      <c r="G53" s="244">
        <v>124563.24</v>
      </c>
    </row>
    <row r="54" spans="1:5" ht="12.75">
      <c r="A54" s="163"/>
      <c r="B54" s="192" t="s">
        <v>396</v>
      </c>
      <c r="C54" s="192"/>
      <c r="D54" s="227"/>
      <c r="E54" s="227"/>
    </row>
    <row r="55" spans="1:5" ht="12.75">
      <c r="A55" s="163"/>
      <c r="B55" s="192" t="s">
        <v>598</v>
      </c>
      <c r="C55" s="192"/>
      <c r="D55" s="227"/>
      <c r="E55" s="227"/>
    </row>
    <row r="56" spans="1:5" ht="12.75">
      <c r="A56" s="163"/>
      <c r="B56" s="192" t="s">
        <v>597</v>
      </c>
      <c r="C56" s="192"/>
      <c r="D56" s="227"/>
      <c r="E56" s="227"/>
    </row>
    <row r="57" spans="1:5" ht="12.75">
      <c r="A57" s="163"/>
      <c r="B57" s="192" t="s">
        <v>397</v>
      </c>
      <c r="C57" s="192"/>
      <c r="D57" s="227"/>
      <c r="E57" s="227"/>
    </row>
    <row r="58" spans="1:5" ht="12.75">
      <c r="A58" s="163"/>
      <c r="B58" s="192"/>
      <c r="C58" s="192" t="s">
        <v>398</v>
      </c>
      <c r="D58" s="227"/>
      <c r="E58" s="227"/>
    </row>
    <row r="59" spans="1:5" ht="12.75">
      <c r="A59" s="163"/>
      <c r="B59" s="192"/>
      <c r="C59" s="192" t="s">
        <v>399</v>
      </c>
      <c r="D59" s="227"/>
      <c r="E59" s="227"/>
    </row>
    <row r="60" spans="1:5" ht="12.75">
      <c r="A60" s="163"/>
      <c r="B60" s="192"/>
      <c r="C60" s="192" t="s">
        <v>400</v>
      </c>
      <c r="D60" s="227"/>
      <c r="E60" s="227"/>
    </row>
    <row r="61" spans="1:5" ht="12.75">
      <c r="A61" s="163"/>
      <c r="B61" s="192"/>
      <c r="C61" s="192" t="s">
        <v>401</v>
      </c>
      <c r="D61" s="223"/>
      <c r="E61" s="227"/>
    </row>
    <row r="62" spans="1:5" ht="12.75">
      <c r="A62" s="163"/>
      <c r="B62" s="192" t="s">
        <v>402</v>
      </c>
      <c r="C62" s="192"/>
      <c r="D62" s="227"/>
      <c r="E62" s="227"/>
    </row>
    <row r="63" spans="1:5" ht="12.75">
      <c r="A63" s="163"/>
      <c r="B63" s="192"/>
      <c r="C63" s="192" t="s">
        <v>403</v>
      </c>
      <c r="D63" s="227"/>
      <c r="E63" s="227"/>
    </row>
    <row r="64" spans="1:5" ht="12.75">
      <c r="A64" s="163"/>
      <c r="B64" s="192"/>
      <c r="C64" s="192" t="s">
        <v>404</v>
      </c>
      <c r="D64" s="227"/>
      <c r="E64" s="227"/>
    </row>
    <row r="65" spans="1:5" ht="12.75">
      <c r="A65" s="163"/>
      <c r="B65" s="192"/>
      <c r="C65" s="192" t="s">
        <v>405</v>
      </c>
      <c r="D65" s="227"/>
      <c r="E65" s="227"/>
    </row>
    <row r="66" spans="1:5" ht="12.75">
      <c r="A66" s="163"/>
      <c r="B66" s="192"/>
      <c r="C66" s="192" t="s">
        <v>406</v>
      </c>
      <c r="D66" s="227"/>
      <c r="E66" s="227"/>
    </row>
    <row r="67" spans="1:5" ht="12.75">
      <c r="A67" s="163"/>
      <c r="B67" s="192"/>
      <c r="C67" s="192" t="s">
        <v>407</v>
      </c>
      <c r="D67" s="227"/>
      <c r="E67" s="227"/>
    </row>
    <row r="68" spans="1:5" ht="12.75">
      <c r="A68" s="163"/>
      <c r="B68" s="192" t="s">
        <v>408</v>
      </c>
      <c r="C68" s="192"/>
      <c r="D68" s="227"/>
      <c r="E68" s="227"/>
    </row>
    <row r="69" spans="1:5" ht="12.75">
      <c r="A69" s="163"/>
      <c r="B69" s="192"/>
      <c r="C69" s="201" t="s">
        <v>409</v>
      </c>
      <c r="D69" s="227"/>
      <c r="E69" s="227"/>
    </row>
    <row r="70" spans="1:5" ht="12.75">
      <c r="A70" s="163"/>
      <c r="B70" s="192"/>
      <c r="C70" s="192" t="s">
        <v>410</v>
      </c>
      <c r="D70" s="227"/>
      <c r="E70" s="227"/>
    </row>
    <row r="71" spans="1:5" ht="12.75">
      <c r="A71" s="163"/>
      <c r="B71" s="192"/>
      <c r="C71" s="192" t="s">
        <v>411</v>
      </c>
      <c r="D71" s="227"/>
      <c r="E71" s="227"/>
    </row>
    <row r="72" spans="1:5" ht="12.75">
      <c r="A72" s="163"/>
      <c r="B72" s="192"/>
      <c r="C72" s="192" t="s">
        <v>412</v>
      </c>
      <c r="D72" s="227">
        <v>523588.64</v>
      </c>
      <c r="E72" s="227"/>
    </row>
    <row r="73" spans="1:5" ht="12.75">
      <c r="A73" s="163"/>
      <c r="B73" s="192" t="s">
        <v>413</v>
      </c>
      <c r="C73" s="192"/>
      <c r="D73" s="227"/>
      <c r="E73" s="227"/>
    </row>
    <row r="74" spans="1:5" ht="12.75">
      <c r="A74" s="163"/>
      <c r="B74" s="192"/>
      <c r="C74" s="192" t="s">
        <v>414</v>
      </c>
      <c r="D74" s="227"/>
      <c r="E74" s="227"/>
    </row>
    <row r="75" spans="1:5" ht="12.75">
      <c r="A75" s="163"/>
      <c r="B75" s="192"/>
      <c r="C75" s="192" t="s">
        <v>415</v>
      </c>
      <c r="D75" s="227"/>
      <c r="E75" s="227"/>
    </row>
    <row r="76" spans="1:5" ht="12.75">
      <c r="A76" s="163"/>
      <c r="B76" s="192"/>
      <c r="C76" s="192" t="s">
        <v>416</v>
      </c>
      <c r="D76" s="227"/>
      <c r="E76" s="227"/>
    </row>
    <row r="77" spans="1:5" ht="12.75">
      <c r="A77" s="163"/>
      <c r="B77" s="192"/>
      <c r="C77" s="192" t="s">
        <v>417</v>
      </c>
      <c r="D77" s="227"/>
      <c r="E77" s="227"/>
    </row>
    <row r="78" spans="1:5" ht="12.75">
      <c r="A78" s="200"/>
      <c r="B78" s="208" t="s">
        <v>418</v>
      </c>
      <c r="C78" s="201"/>
      <c r="D78" s="227"/>
      <c r="E78" s="228"/>
    </row>
    <row r="79" spans="1:5" ht="12.75">
      <c r="A79" s="200"/>
      <c r="B79" s="208"/>
      <c r="C79" s="201" t="s">
        <v>419</v>
      </c>
      <c r="D79" s="227"/>
      <c r="E79" s="223"/>
    </row>
    <row r="80" spans="1:5" ht="12.75">
      <c r="A80" s="200"/>
      <c r="B80" s="208"/>
      <c r="C80" s="201" t="s">
        <v>420</v>
      </c>
      <c r="D80" s="227"/>
      <c r="E80" s="227" t="s">
        <v>355</v>
      </c>
    </row>
    <row r="81" spans="1:5" ht="12.75">
      <c r="A81" s="200"/>
      <c r="B81" s="208"/>
      <c r="C81" s="201" t="s">
        <v>421</v>
      </c>
      <c r="D81" s="227"/>
      <c r="E81" s="227" t="s">
        <v>355</v>
      </c>
    </row>
    <row r="82" spans="1:5" ht="12.75">
      <c r="A82" s="200"/>
      <c r="B82" s="208"/>
      <c r="C82" s="201" t="s">
        <v>422</v>
      </c>
      <c r="D82" s="227"/>
      <c r="E82" s="227" t="s">
        <v>355</v>
      </c>
    </row>
    <row r="83" spans="1:5" ht="12.75">
      <c r="A83" s="200"/>
      <c r="B83" s="208"/>
      <c r="C83" s="201" t="s">
        <v>423</v>
      </c>
      <c r="D83" s="227"/>
      <c r="E83" s="227" t="s">
        <v>355</v>
      </c>
    </row>
    <row r="84" spans="1:5" ht="12.75">
      <c r="A84" s="200"/>
      <c r="B84" s="208"/>
      <c r="C84" s="201" t="s">
        <v>424</v>
      </c>
      <c r="D84" s="227"/>
      <c r="E84" s="227" t="s">
        <v>355</v>
      </c>
    </row>
    <row r="85" spans="1:7" ht="12.75">
      <c r="A85" s="200"/>
      <c r="B85" s="208"/>
      <c r="C85" s="201" t="s">
        <v>425</v>
      </c>
      <c r="D85" s="227"/>
      <c r="E85" s="222">
        <f>SUM(E19:E84)</f>
        <v>3531125.6</v>
      </c>
      <c r="F85" s="222">
        <f>SUM(F19:F84)</f>
        <v>57013517.7</v>
      </c>
      <c r="G85" s="222">
        <f>SUM(G19:G84)</f>
        <v>28253612.89</v>
      </c>
    </row>
    <row r="86" spans="1:4" ht="12.75">
      <c r="A86" s="200"/>
      <c r="B86" s="211" t="s">
        <v>426</v>
      </c>
      <c r="C86" s="206"/>
      <c r="D86" s="228"/>
    </row>
    <row r="87" spans="1:4" ht="12.75">
      <c r="A87" s="200"/>
      <c r="B87" s="208" t="s">
        <v>371</v>
      </c>
      <c r="C87" s="201"/>
      <c r="D87" s="223"/>
    </row>
    <row r="88" spans="1:4" ht="12.75">
      <c r="A88" s="200"/>
      <c r="B88" s="196"/>
      <c r="C88" s="197" t="s">
        <v>427</v>
      </c>
      <c r="D88" s="227" t="s">
        <v>355</v>
      </c>
    </row>
    <row r="89" spans="1:4" ht="12.75">
      <c r="A89" s="200"/>
      <c r="B89" s="196"/>
      <c r="C89" s="197" t="s">
        <v>428</v>
      </c>
      <c r="D89" s="227" t="s">
        <v>355</v>
      </c>
    </row>
    <row r="90" spans="1:4" ht="12.75">
      <c r="A90" s="200"/>
      <c r="B90" s="196"/>
      <c r="C90" s="197" t="s">
        <v>429</v>
      </c>
      <c r="D90" s="227" t="s">
        <v>355</v>
      </c>
    </row>
    <row r="91" spans="1:4" ht="12.75">
      <c r="A91" s="200"/>
      <c r="B91" s="196"/>
      <c r="C91" s="197" t="s">
        <v>430</v>
      </c>
      <c r="D91" s="227" t="s">
        <v>355</v>
      </c>
    </row>
    <row r="92" spans="1:4" ht="12.75">
      <c r="A92" s="200"/>
      <c r="B92" s="196"/>
      <c r="C92" s="197" t="s">
        <v>431</v>
      </c>
      <c r="D92" s="227" t="s">
        <v>355</v>
      </c>
    </row>
    <row r="93" spans="1:4" ht="12.75">
      <c r="A93" s="199"/>
      <c r="B93" s="204" t="s">
        <v>99</v>
      </c>
      <c r="C93" s="194"/>
      <c r="D93" s="223">
        <f>SUM(D25:D92)</f>
        <v>83976235.35000001</v>
      </c>
    </row>
    <row r="94" spans="1:4" ht="12.75">
      <c r="A94" s="212"/>
      <c r="B94" s="197"/>
      <c r="C94" s="197"/>
      <c r="D94" s="227"/>
    </row>
    <row r="95" spans="1:4" ht="12.75">
      <c r="A95" s="198" t="s">
        <v>432</v>
      </c>
      <c r="B95" s="194"/>
      <c r="C95" s="194"/>
      <c r="D95" s="223">
        <f>D21-D93</f>
        <v>990107.3399999887</v>
      </c>
    </row>
    <row r="96" spans="1:4" ht="12.75">
      <c r="A96" s="198"/>
      <c r="B96" s="194"/>
      <c r="C96" s="194"/>
      <c r="D96" s="227"/>
    </row>
    <row r="97" spans="1:4" ht="12.75">
      <c r="A97" s="198" t="s">
        <v>433</v>
      </c>
      <c r="B97" s="194"/>
      <c r="C97" s="194"/>
      <c r="D97" s="227"/>
    </row>
    <row r="98" spans="1:4" ht="12.75">
      <c r="A98" s="198"/>
      <c r="B98" s="194"/>
      <c r="C98" s="194"/>
      <c r="D98" s="227"/>
    </row>
    <row r="99" spans="1:4" ht="12.75">
      <c r="A99" s="204" t="s">
        <v>366</v>
      </c>
      <c r="B99" s="194"/>
      <c r="C99" s="194"/>
      <c r="D99" s="227">
        <v>0</v>
      </c>
    </row>
    <row r="100" spans="1:4" ht="12.75">
      <c r="A100" s="200"/>
      <c r="B100" s="201" t="s">
        <v>434</v>
      </c>
      <c r="C100" s="197"/>
      <c r="D100" s="227" t="s">
        <v>355</v>
      </c>
    </row>
    <row r="101" spans="1:4" ht="12.75">
      <c r="A101" s="200"/>
      <c r="B101" s="201" t="s">
        <v>435</v>
      </c>
      <c r="C101" s="197"/>
      <c r="D101" s="227" t="s">
        <v>355</v>
      </c>
    </row>
    <row r="102" spans="1:4" ht="12.75">
      <c r="A102" s="200"/>
      <c r="B102" s="201" t="s">
        <v>436</v>
      </c>
      <c r="C102" s="197"/>
      <c r="D102" s="227" t="s">
        <v>355</v>
      </c>
    </row>
    <row r="103" spans="1:4" ht="12.75">
      <c r="A103" s="200"/>
      <c r="B103" s="207"/>
      <c r="C103" s="197" t="s">
        <v>437</v>
      </c>
      <c r="D103" s="227" t="s">
        <v>355</v>
      </c>
    </row>
    <row r="104" spans="1:4" ht="12.75">
      <c r="A104" s="200"/>
      <c r="B104" s="207"/>
      <c r="C104" s="197" t="s">
        <v>438</v>
      </c>
      <c r="D104" s="227" t="s">
        <v>355</v>
      </c>
    </row>
    <row r="105" spans="1:4" ht="12.75">
      <c r="A105" s="200"/>
      <c r="B105" s="207"/>
      <c r="C105" s="197" t="s">
        <v>439</v>
      </c>
      <c r="D105" s="227" t="s">
        <v>355</v>
      </c>
    </row>
    <row r="106" spans="1:4" ht="12.75">
      <c r="A106" s="200"/>
      <c r="B106" s="207"/>
      <c r="C106" s="197" t="s">
        <v>440</v>
      </c>
      <c r="D106" s="227" t="s">
        <v>355</v>
      </c>
    </row>
    <row r="107" spans="1:4" ht="12.75">
      <c r="A107" s="200"/>
      <c r="B107" s="201" t="s">
        <v>441</v>
      </c>
      <c r="C107" s="197"/>
      <c r="D107" s="227" t="s">
        <v>355</v>
      </c>
    </row>
    <row r="108" spans="1:4" ht="12.75">
      <c r="A108" s="200"/>
      <c r="B108" s="201" t="s">
        <v>442</v>
      </c>
      <c r="C108" s="197"/>
      <c r="D108" s="227" t="s">
        <v>355</v>
      </c>
    </row>
    <row r="109" spans="1:4" ht="12.75">
      <c r="A109" s="200"/>
      <c r="B109" s="207"/>
      <c r="C109" s="197" t="s">
        <v>443</v>
      </c>
      <c r="D109" s="227" t="s">
        <v>355</v>
      </c>
    </row>
    <row r="110" spans="1:4" ht="12.75">
      <c r="A110" s="200"/>
      <c r="B110" s="207"/>
      <c r="C110" s="197" t="s">
        <v>444</v>
      </c>
      <c r="D110" s="227" t="s">
        <v>355</v>
      </c>
    </row>
    <row r="111" spans="1:4" ht="12.75">
      <c r="A111" s="200"/>
      <c r="B111" s="207"/>
      <c r="C111" s="197" t="s">
        <v>445</v>
      </c>
      <c r="D111" s="227" t="s">
        <v>355</v>
      </c>
    </row>
    <row r="112" spans="1:4" ht="12.75">
      <c r="A112" s="200"/>
      <c r="B112" s="207"/>
      <c r="C112" s="197" t="s">
        <v>446</v>
      </c>
      <c r="D112" s="227" t="s">
        <v>355</v>
      </c>
    </row>
    <row r="113" spans="1:4" ht="12.75">
      <c r="A113" s="200"/>
      <c r="B113" s="201" t="s">
        <v>447</v>
      </c>
      <c r="C113" s="197"/>
      <c r="D113" s="227" t="s">
        <v>355</v>
      </c>
    </row>
    <row r="114" spans="1:4" ht="12.75">
      <c r="A114" s="200"/>
      <c r="B114" s="201"/>
      <c r="C114" s="197" t="s">
        <v>448</v>
      </c>
      <c r="D114" s="227" t="s">
        <v>355</v>
      </c>
    </row>
    <row r="115" spans="1:4" ht="12.75">
      <c r="A115" s="200"/>
      <c r="B115" s="201"/>
      <c r="C115" s="197" t="s">
        <v>449</v>
      </c>
      <c r="D115" s="227" t="s">
        <v>355</v>
      </c>
    </row>
    <row r="116" spans="1:4" ht="12.75">
      <c r="A116" s="200"/>
      <c r="B116" s="201" t="s">
        <v>450</v>
      </c>
      <c r="C116" s="197"/>
      <c r="D116" s="227" t="s">
        <v>355</v>
      </c>
    </row>
    <row r="117" spans="1:4" ht="12.75">
      <c r="A117" s="200"/>
      <c r="B117" s="208" t="s">
        <v>371</v>
      </c>
      <c r="C117" s="201"/>
      <c r="D117" s="223" t="s">
        <v>355</v>
      </c>
    </row>
    <row r="118" spans="1:4" ht="12.75">
      <c r="A118" s="209" t="s">
        <v>97</v>
      </c>
      <c r="B118" s="194"/>
      <c r="C118" s="194"/>
      <c r="D118" s="229">
        <f>+D99</f>
        <v>0</v>
      </c>
    </row>
    <row r="119" spans="1:4" ht="12.75">
      <c r="A119" s="209"/>
      <c r="B119" s="194"/>
      <c r="C119" s="194"/>
      <c r="D119" s="222"/>
    </row>
    <row r="120" spans="1:4" ht="12.75">
      <c r="A120" s="195" t="s">
        <v>372</v>
      </c>
      <c r="B120" s="194"/>
      <c r="C120" s="194"/>
      <c r="D120" s="227"/>
    </row>
    <row r="121" spans="1:4" ht="12.75">
      <c r="A121" s="200"/>
      <c r="B121" s="201" t="s">
        <v>451</v>
      </c>
      <c r="C121" s="197"/>
      <c r="D121" s="227" t="s">
        <v>355</v>
      </c>
    </row>
    <row r="122" spans="1:4" ht="12.75">
      <c r="A122" s="200"/>
      <c r="B122" s="201" t="s">
        <v>452</v>
      </c>
      <c r="C122" s="197"/>
      <c r="D122" s="227" t="s">
        <v>355</v>
      </c>
    </row>
    <row r="123" spans="1:4" ht="12.75">
      <c r="A123" s="200"/>
      <c r="B123" s="207"/>
      <c r="C123" s="197" t="s">
        <v>453</v>
      </c>
      <c r="D123" s="227" t="s">
        <v>355</v>
      </c>
    </row>
    <row r="124" spans="1:4" ht="12.75">
      <c r="A124" s="200"/>
      <c r="B124" s="207"/>
      <c r="C124" s="197" t="s">
        <v>454</v>
      </c>
      <c r="D124" s="227" t="s">
        <v>355</v>
      </c>
    </row>
    <row r="125" spans="1:4" ht="12.75">
      <c r="A125" s="200"/>
      <c r="B125" s="207"/>
      <c r="C125" s="197" t="s">
        <v>455</v>
      </c>
      <c r="D125" s="227" t="s">
        <v>355</v>
      </c>
    </row>
    <row r="126" spans="1:4" ht="12.75">
      <c r="A126" s="200"/>
      <c r="B126" s="207"/>
      <c r="C126" s="197" t="s">
        <v>456</v>
      </c>
      <c r="D126" s="227" t="s">
        <v>355</v>
      </c>
    </row>
    <row r="127" spans="1:4" ht="12.75">
      <c r="A127" s="200"/>
      <c r="B127" s="207"/>
      <c r="C127" s="197" t="s">
        <v>457</v>
      </c>
      <c r="D127" s="227"/>
    </row>
    <row r="128" spans="1:4" ht="12.75">
      <c r="A128" s="200"/>
      <c r="B128" s="207"/>
      <c r="C128" s="170" t="s">
        <v>458</v>
      </c>
      <c r="D128" s="227">
        <v>1425000</v>
      </c>
    </row>
    <row r="129" spans="1:4" ht="12.75">
      <c r="A129" s="200"/>
      <c r="B129" s="207"/>
      <c r="C129" s="196" t="s">
        <v>459</v>
      </c>
      <c r="D129" s="227"/>
    </row>
    <row r="130" spans="1:4" ht="12.75">
      <c r="A130" s="200"/>
      <c r="B130" s="207"/>
      <c r="C130" s="196" t="s">
        <v>519</v>
      </c>
      <c r="D130" s="227"/>
    </row>
    <row r="131" spans="1:4" ht="12.75">
      <c r="A131" s="200"/>
      <c r="B131" s="207"/>
      <c r="C131" s="170" t="s">
        <v>460</v>
      </c>
      <c r="D131" s="227" t="s">
        <v>355</v>
      </c>
    </row>
    <row r="132" spans="1:4" ht="12.75">
      <c r="A132" s="200"/>
      <c r="B132" s="207"/>
      <c r="C132" s="196" t="s">
        <v>461</v>
      </c>
      <c r="D132" s="227" t="s">
        <v>355</v>
      </c>
    </row>
    <row r="133" spans="1:4" ht="12.75">
      <c r="A133" s="200"/>
      <c r="B133" s="207"/>
      <c r="C133" s="170" t="s">
        <v>462</v>
      </c>
      <c r="D133" s="227" t="s">
        <v>355</v>
      </c>
    </row>
    <row r="134" spans="1:4" ht="12.75">
      <c r="A134" s="200"/>
      <c r="B134" s="207"/>
      <c r="C134" s="196" t="s">
        <v>463</v>
      </c>
      <c r="D134" s="227" t="s">
        <v>355</v>
      </c>
    </row>
    <row r="135" spans="1:4" ht="12.75">
      <c r="A135" s="200"/>
      <c r="B135" s="207"/>
      <c r="C135" s="170" t="s">
        <v>464</v>
      </c>
      <c r="D135" s="227" t="s">
        <v>355</v>
      </c>
    </row>
    <row r="136" spans="1:4" ht="12.75">
      <c r="A136" s="200"/>
      <c r="B136" s="207"/>
      <c r="C136" s="197" t="s">
        <v>465</v>
      </c>
      <c r="D136" s="227" t="s">
        <v>355</v>
      </c>
    </row>
    <row r="137" spans="1:4" ht="12.75">
      <c r="A137" s="200"/>
      <c r="B137" s="207"/>
      <c r="C137" s="197" t="s">
        <v>466</v>
      </c>
      <c r="D137" s="227" t="s">
        <v>355</v>
      </c>
    </row>
    <row r="138" spans="1:4" ht="12.75">
      <c r="A138" s="200"/>
      <c r="B138" s="207"/>
      <c r="C138" s="197" t="s">
        <v>467</v>
      </c>
      <c r="D138" s="227" t="s">
        <v>355</v>
      </c>
    </row>
    <row r="139" spans="1:4" ht="12.75">
      <c r="A139" s="200"/>
      <c r="B139" s="207"/>
      <c r="C139" s="197" t="s">
        <v>468</v>
      </c>
      <c r="D139" s="227" t="s">
        <v>355</v>
      </c>
    </row>
    <row r="140" spans="1:4" ht="12.75">
      <c r="A140" s="200"/>
      <c r="B140" s="207"/>
      <c r="C140" s="197" t="s">
        <v>469</v>
      </c>
      <c r="D140" s="227" t="s">
        <v>355</v>
      </c>
    </row>
    <row r="141" spans="1:4" ht="12.75">
      <c r="A141" s="200"/>
      <c r="B141" s="207"/>
      <c r="C141" s="197" t="s">
        <v>470</v>
      </c>
      <c r="D141" s="227" t="s">
        <v>355</v>
      </c>
    </row>
    <row r="142" spans="1:4" ht="12.75">
      <c r="A142" s="200"/>
      <c r="B142" s="207"/>
      <c r="C142" s="197" t="s">
        <v>471</v>
      </c>
      <c r="D142" s="227" t="s">
        <v>355</v>
      </c>
    </row>
    <row r="143" spans="1:4" ht="12.75">
      <c r="A143" s="200"/>
      <c r="B143" s="201" t="s">
        <v>302</v>
      </c>
      <c r="C143" s="197"/>
      <c r="D143" s="227" t="s">
        <v>355</v>
      </c>
    </row>
    <row r="144" spans="1:4" ht="12.75">
      <c r="A144" s="200"/>
      <c r="B144" s="207"/>
      <c r="C144" s="197" t="s">
        <v>472</v>
      </c>
      <c r="D144" s="227" t="s">
        <v>355</v>
      </c>
    </row>
    <row r="145" spans="1:4" ht="12.75">
      <c r="A145" s="200"/>
      <c r="B145" s="207"/>
      <c r="C145" s="197" t="s">
        <v>473</v>
      </c>
      <c r="D145" s="227" t="s">
        <v>355</v>
      </c>
    </row>
    <row r="146" spans="1:4" ht="12.75">
      <c r="A146" s="200"/>
      <c r="B146" s="207"/>
      <c r="C146" s="197" t="s">
        <v>474</v>
      </c>
      <c r="D146" s="227" t="s">
        <v>355</v>
      </c>
    </row>
    <row r="147" spans="1:4" ht="12.75">
      <c r="A147" s="200"/>
      <c r="B147" s="207"/>
      <c r="C147" s="197" t="s">
        <v>475</v>
      </c>
      <c r="D147" s="227" t="s">
        <v>355</v>
      </c>
    </row>
    <row r="148" spans="1:4" ht="12.75">
      <c r="A148" s="200"/>
      <c r="B148" s="207"/>
      <c r="C148" s="197" t="s">
        <v>476</v>
      </c>
      <c r="D148" s="227" t="s">
        <v>355</v>
      </c>
    </row>
    <row r="149" spans="1:4" ht="12.75">
      <c r="A149" s="200"/>
      <c r="B149" s="201" t="s">
        <v>477</v>
      </c>
      <c r="C149" s="197"/>
      <c r="D149" s="227" t="s">
        <v>355</v>
      </c>
    </row>
    <row r="150" spans="1:4" ht="12.75">
      <c r="A150" s="200"/>
      <c r="B150" s="201"/>
      <c r="C150" s="197" t="s">
        <v>478</v>
      </c>
      <c r="D150" s="227" t="s">
        <v>355</v>
      </c>
    </row>
    <row r="151" spans="1:4" ht="12.75">
      <c r="A151" s="200"/>
      <c r="B151" s="201"/>
      <c r="C151" s="197" t="s">
        <v>479</v>
      </c>
      <c r="D151" s="227" t="s">
        <v>355</v>
      </c>
    </row>
    <row r="152" spans="1:4" ht="12.75">
      <c r="A152" s="200"/>
      <c r="B152" s="201"/>
      <c r="C152" s="197" t="s">
        <v>480</v>
      </c>
      <c r="D152" s="227" t="s">
        <v>355</v>
      </c>
    </row>
    <row r="153" spans="1:4" ht="12.75">
      <c r="A153" s="200"/>
      <c r="B153" s="201"/>
      <c r="C153" s="197" t="s">
        <v>385</v>
      </c>
      <c r="D153" s="227" t="s">
        <v>355</v>
      </c>
    </row>
    <row r="154" spans="1:4" ht="12.75">
      <c r="A154" s="200"/>
      <c r="B154" s="201"/>
      <c r="C154" s="197" t="s">
        <v>481</v>
      </c>
      <c r="D154" s="227" t="s">
        <v>355</v>
      </c>
    </row>
    <row r="155" spans="1:4" ht="12.75">
      <c r="A155" s="200"/>
      <c r="B155" s="201" t="s">
        <v>482</v>
      </c>
      <c r="C155" s="197"/>
      <c r="D155" s="227" t="s">
        <v>355</v>
      </c>
    </row>
    <row r="156" spans="1:4" ht="12.75">
      <c r="A156" s="200"/>
      <c r="B156" s="201"/>
      <c r="C156" s="197" t="s">
        <v>483</v>
      </c>
      <c r="D156" s="227" t="s">
        <v>355</v>
      </c>
    </row>
    <row r="157" spans="1:4" ht="12.75">
      <c r="A157" s="200"/>
      <c r="B157" s="201"/>
      <c r="C157" s="197" t="s">
        <v>484</v>
      </c>
      <c r="D157" s="227" t="s">
        <v>355</v>
      </c>
    </row>
    <row r="158" spans="1:4" ht="12.75">
      <c r="A158" s="200"/>
      <c r="B158" s="201" t="s">
        <v>485</v>
      </c>
      <c r="C158" s="197"/>
      <c r="D158" s="227" t="s">
        <v>355</v>
      </c>
    </row>
    <row r="159" spans="1:4" ht="12.75">
      <c r="A159" s="200"/>
      <c r="B159" s="197"/>
      <c r="C159" s="197" t="s">
        <v>486</v>
      </c>
      <c r="D159" s="227" t="s">
        <v>355</v>
      </c>
    </row>
    <row r="160" spans="1:4" ht="12.75">
      <c r="A160" s="200"/>
      <c r="B160" s="197"/>
      <c r="C160" s="197" t="s">
        <v>487</v>
      </c>
      <c r="D160" s="227" t="s">
        <v>355</v>
      </c>
    </row>
    <row r="161" spans="1:4" ht="12.75">
      <c r="A161" s="200"/>
      <c r="B161" s="197"/>
      <c r="C161" s="197"/>
      <c r="D161" s="227"/>
    </row>
    <row r="162" spans="1:4" ht="12.75">
      <c r="A162" s="200"/>
      <c r="B162" s="208" t="s">
        <v>371</v>
      </c>
      <c r="C162" s="201"/>
      <c r="D162" s="223" t="s">
        <v>355</v>
      </c>
    </row>
    <row r="163" spans="1:4" ht="12.75">
      <c r="A163" s="209" t="s">
        <v>99</v>
      </c>
      <c r="B163" s="194"/>
      <c r="C163" s="194"/>
      <c r="D163" s="229">
        <f>SUM(D127:D162)</f>
        <v>1425000</v>
      </c>
    </row>
    <row r="164" spans="1:4" ht="12.75">
      <c r="A164" s="209"/>
      <c r="B164" s="194"/>
      <c r="C164" s="194"/>
      <c r="D164" s="227"/>
    </row>
    <row r="165" spans="1:4" ht="12.75">
      <c r="A165" s="198" t="s">
        <v>488</v>
      </c>
      <c r="B165" s="194"/>
      <c r="C165" s="194"/>
      <c r="D165" s="223">
        <f>+D118-D163</f>
        <v>-1425000</v>
      </c>
    </row>
    <row r="166" spans="1:4" ht="12.75">
      <c r="A166" s="198"/>
      <c r="B166" s="194"/>
      <c r="C166" s="194"/>
      <c r="D166" s="227"/>
    </row>
    <row r="167" spans="1:4" ht="12.75">
      <c r="A167" s="194" t="s">
        <v>489</v>
      </c>
      <c r="B167" s="194"/>
      <c r="C167" s="194"/>
      <c r="D167" s="227">
        <v>0</v>
      </c>
    </row>
    <row r="168" spans="1:4" ht="12.75">
      <c r="A168" s="194"/>
      <c r="B168" s="194"/>
      <c r="C168" s="194"/>
      <c r="D168" s="227"/>
    </row>
    <row r="169" spans="1:4" ht="12.75">
      <c r="A169" s="195" t="s">
        <v>366</v>
      </c>
      <c r="B169" s="194"/>
      <c r="C169" s="194"/>
      <c r="D169" s="227"/>
    </row>
    <row r="170" spans="1:4" ht="12.75">
      <c r="A170" s="197"/>
      <c r="B170" s="201" t="s">
        <v>490</v>
      </c>
      <c r="C170" s="197"/>
      <c r="D170" s="227" t="s">
        <v>355</v>
      </c>
    </row>
    <row r="171" spans="1:4" ht="12.75">
      <c r="A171" s="197"/>
      <c r="B171" s="201"/>
      <c r="C171" s="197" t="s">
        <v>491</v>
      </c>
      <c r="D171" s="227" t="s">
        <v>355</v>
      </c>
    </row>
    <row r="172" spans="1:4" ht="12.75">
      <c r="A172" s="197"/>
      <c r="B172" s="201"/>
      <c r="C172" s="197" t="s">
        <v>492</v>
      </c>
      <c r="D172" s="227" t="s">
        <v>355</v>
      </c>
    </row>
    <row r="173" spans="1:4" ht="12.75">
      <c r="A173" s="200"/>
      <c r="B173" s="201" t="s">
        <v>493</v>
      </c>
      <c r="C173" s="197"/>
      <c r="D173" s="227" t="s">
        <v>355</v>
      </c>
    </row>
    <row r="174" spans="1:4" ht="12.75">
      <c r="A174" s="200"/>
      <c r="B174" s="197"/>
      <c r="C174" s="197" t="s">
        <v>494</v>
      </c>
      <c r="D174" s="227" t="s">
        <v>355</v>
      </c>
    </row>
    <row r="175" spans="1:4" ht="12.75">
      <c r="A175" s="200"/>
      <c r="B175" s="197"/>
      <c r="C175" s="197" t="s">
        <v>495</v>
      </c>
      <c r="D175" s="227" t="s">
        <v>355</v>
      </c>
    </row>
    <row r="176" spans="1:4" ht="12.75">
      <c r="A176" s="200"/>
      <c r="B176" s="197"/>
      <c r="C176" s="197" t="s">
        <v>496</v>
      </c>
      <c r="D176" s="227" t="s">
        <v>355</v>
      </c>
    </row>
    <row r="177" spans="1:4" ht="12.75">
      <c r="A177" s="200"/>
      <c r="B177" s="208" t="s">
        <v>371</v>
      </c>
      <c r="C177" s="201"/>
      <c r="D177" s="223" t="s">
        <v>355</v>
      </c>
    </row>
    <row r="178" spans="1:4" ht="12.75">
      <c r="A178" s="209" t="s">
        <v>97</v>
      </c>
      <c r="B178" s="194"/>
      <c r="C178" s="194"/>
      <c r="D178" s="229" t="s">
        <v>355</v>
      </c>
    </row>
    <row r="179" spans="1:4" ht="12.75">
      <c r="A179" s="209"/>
      <c r="B179" s="194"/>
      <c r="C179" s="194"/>
      <c r="D179" s="222"/>
    </row>
    <row r="180" spans="1:4" ht="12.75">
      <c r="A180" s="195" t="s">
        <v>372</v>
      </c>
      <c r="B180" s="194"/>
      <c r="C180" s="194"/>
      <c r="D180" s="227"/>
    </row>
    <row r="181" spans="1:4" ht="12.75">
      <c r="A181" s="200"/>
      <c r="B181" s="201" t="s">
        <v>497</v>
      </c>
      <c r="C181" s="197"/>
      <c r="D181" s="227" t="s">
        <v>355</v>
      </c>
    </row>
    <row r="182" spans="1:4" ht="12.75">
      <c r="A182" s="200"/>
      <c r="B182" s="201"/>
      <c r="C182" s="197" t="s">
        <v>498</v>
      </c>
      <c r="D182" s="227" t="s">
        <v>355</v>
      </c>
    </row>
    <row r="183" spans="1:4" ht="12.75">
      <c r="A183" s="200"/>
      <c r="B183" s="207"/>
      <c r="C183" s="197" t="s">
        <v>499</v>
      </c>
      <c r="D183" s="227" t="s">
        <v>355</v>
      </c>
    </row>
    <row r="184" spans="1:4" ht="12.75">
      <c r="A184" s="200"/>
      <c r="B184" s="207"/>
      <c r="C184" s="197" t="s">
        <v>500</v>
      </c>
      <c r="D184" s="227" t="s">
        <v>355</v>
      </c>
    </row>
    <row r="185" spans="1:4" ht="12.75">
      <c r="A185" s="200"/>
      <c r="B185" s="207"/>
      <c r="C185" s="197" t="s">
        <v>501</v>
      </c>
      <c r="D185" s="227" t="s">
        <v>355</v>
      </c>
    </row>
    <row r="186" spans="1:4" ht="12.75">
      <c r="A186" s="200"/>
      <c r="B186" s="207"/>
      <c r="C186" s="197" t="s">
        <v>502</v>
      </c>
      <c r="D186" s="227" t="s">
        <v>355</v>
      </c>
    </row>
    <row r="187" spans="1:4" ht="12.75">
      <c r="A187" s="203"/>
      <c r="B187" s="206" t="s">
        <v>503</v>
      </c>
      <c r="C187" s="202"/>
      <c r="D187" s="228" t="s">
        <v>355</v>
      </c>
    </row>
    <row r="188" spans="1:4" ht="12.75">
      <c r="A188" s="200"/>
      <c r="B188" s="201"/>
      <c r="C188" s="197" t="s">
        <v>504</v>
      </c>
      <c r="D188" s="227" t="s">
        <v>355</v>
      </c>
    </row>
    <row r="189" spans="1:4" ht="12.75">
      <c r="A189" s="200"/>
      <c r="B189" s="201"/>
      <c r="C189" s="197" t="s">
        <v>505</v>
      </c>
      <c r="D189" s="227" t="s">
        <v>355</v>
      </c>
    </row>
    <row r="190" spans="1:4" ht="12.75">
      <c r="A190" s="200"/>
      <c r="B190" s="201" t="s">
        <v>506</v>
      </c>
      <c r="C190" s="197"/>
      <c r="D190" s="227" t="s">
        <v>355</v>
      </c>
    </row>
    <row r="191" spans="1:4" ht="12.75">
      <c r="A191" s="200"/>
      <c r="B191" s="208" t="s">
        <v>371</v>
      </c>
      <c r="C191" s="201"/>
      <c r="D191" s="223" t="s">
        <v>355</v>
      </c>
    </row>
    <row r="192" spans="1:4" ht="12.75">
      <c r="A192" s="209" t="s">
        <v>99</v>
      </c>
      <c r="B192" s="194"/>
      <c r="C192" s="194"/>
      <c r="D192" s="229" t="s">
        <v>355</v>
      </c>
    </row>
    <row r="193" spans="1:4" ht="12.75">
      <c r="A193" s="209"/>
      <c r="B193" s="194"/>
      <c r="C193" s="194"/>
      <c r="D193" s="222"/>
    </row>
    <row r="194" spans="1:5" ht="12.75">
      <c r="A194" s="198" t="s">
        <v>507</v>
      </c>
      <c r="B194" s="194"/>
      <c r="C194" s="194"/>
      <c r="D194" s="223">
        <f>+D167</f>
        <v>0</v>
      </c>
      <c r="E194" s="77">
        <f>'DetSFP 2nd Qtr'!F9</f>
        <v>12997516.209999993</v>
      </c>
    </row>
    <row r="195" spans="1:4" ht="12.75">
      <c r="A195" s="198"/>
      <c r="B195" s="194"/>
      <c r="C195" s="194"/>
      <c r="D195" s="227"/>
    </row>
    <row r="196" spans="1:4" ht="12.75">
      <c r="A196" s="194" t="s">
        <v>508</v>
      </c>
      <c r="B196" s="194"/>
      <c r="C196" s="194"/>
      <c r="D196" s="223">
        <f>+D21-D93</f>
        <v>990107.3399999887</v>
      </c>
    </row>
    <row r="197" spans="1:4" ht="12.75">
      <c r="A197" s="194"/>
      <c r="B197" s="194"/>
      <c r="C197" s="194"/>
      <c r="D197" s="227"/>
    </row>
    <row r="198" spans="1:6" ht="12.75">
      <c r="A198" s="199" t="s">
        <v>509</v>
      </c>
      <c r="B198" s="194"/>
      <c r="C198" s="194"/>
      <c r="D198" s="227" t="s">
        <v>355</v>
      </c>
      <c r="F198" s="1"/>
    </row>
    <row r="199" spans="1:6" ht="12.75">
      <c r="A199" s="199"/>
      <c r="B199" s="194"/>
      <c r="C199" s="194"/>
      <c r="D199" s="227"/>
      <c r="F199" s="1"/>
    </row>
    <row r="200" spans="1:6" ht="12.75">
      <c r="A200" s="194" t="s">
        <v>768</v>
      </c>
      <c r="B200" s="194"/>
      <c r="C200" s="194"/>
      <c r="D200" s="223">
        <v>13613846.48</v>
      </c>
      <c r="F200" s="1"/>
    </row>
    <row r="201" spans="1:6" ht="12.75">
      <c r="A201" s="197"/>
      <c r="B201" s="197"/>
      <c r="C201" s="197"/>
      <c r="D201" s="227"/>
      <c r="F201" s="1"/>
    </row>
    <row r="202" spans="1:6" ht="13.5" thickBot="1">
      <c r="A202" s="194" t="s">
        <v>767</v>
      </c>
      <c r="B202" s="194"/>
      <c r="C202" s="194"/>
      <c r="D202" s="224">
        <f>+D196+D200</f>
        <v>14603953.81999999</v>
      </c>
      <c r="F202" s="1"/>
    </row>
    <row r="203" ht="13.5" thickTop="1">
      <c r="D203" s="348">
        <f>D202-'ConSFP 2nd Qtr'!F11</f>
        <v>1606437.6099999957</v>
      </c>
    </row>
  </sheetData>
  <sheetProtection/>
  <mergeCells count="4">
    <mergeCell ref="A1:E1"/>
    <mergeCell ref="A2:E2"/>
    <mergeCell ref="A3:E3"/>
    <mergeCell ref="A4:E4"/>
  </mergeCells>
  <printOptions/>
  <pageMargins left="0.49" right="0.12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41.57421875" style="0" customWidth="1"/>
    <col min="2" max="2" width="6.00390625" style="0" customWidth="1"/>
    <col min="3" max="3" width="15.8515625" style="0" customWidth="1"/>
    <col min="4" max="4" width="16.8515625" style="0" customWidth="1"/>
    <col min="5" max="5" width="15.421875" style="0" customWidth="1"/>
    <col min="6" max="6" width="13.57421875" style="0" customWidth="1"/>
  </cols>
  <sheetData>
    <row r="1" spans="1:6" ht="15">
      <c r="A1" s="555" t="s">
        <v>1</v>
      </c>
      <c r="B1" s="555"/>
      <c r="C1" s="555"/>
      <c r="D1" s="555"/>
      <c r="E1" s="555"/>
      <c r="F1" s="555"/>
    </row>
    <row r="2" spans="1:6" ht="12.75">
      <c r="A2" s="551" t="s">
        <v>606</v>
      </c>
      <c r="B2" s="551"/>
      <c r="C2" s="551"/>
      <c r="D2" s="551"/>
      <c r="E2" s="551"/>
      <c r="F2" s="551"/>
    </row>
    <row r="3" spans="1:6" ht="12.75">
      <c r="A3" s="552" t="s">
        <v>215</v>
      </c>
      <c r="B3" s="552"/>
      <c r="C3" s="552"/>
      <c r="D3" s="552"/>
      <c r="E3" s="552"/>
      <c r="F3" s="552"/>
    </row>
    <row r="4" spans="1:6" ht="12.75">
      <c r="A4" s="552" t="s">
        <v>769</v>
      </c>
      <c r="B4" s="552"/>
      <c r="C4" s="552"/>
      <c r="D4" s="552"/>
      <c r="E4" s="552"/>
      <c r="F4" s="552"/>
    </row>
    <row r="6" spans="1:6" ht="12.75">
      <c r="A6" s="564" t="s">
        <v>5</v>
      </c>
      <c r="B6" s="564" t="s">
        <v>607</v>
      </c>
      <c r="C6" s="565" t="s">
        <v>608</v>
      </c>
      <c r="D6" s="565"/>
      <c r="E6" s="566" t="s">
        <v>609</v>
      </c>
      <c r="F6" s="566" t="s">
        <v>610</v>
      </c>
    </row>
    <row r="7" spans="1:6" ht="27.75" customHeight="1">
      <c r="A7" s="564"/>
      <c r="B7" s="564"/>
      <c r="C7" s="279" t="s">
        <v>611</v>
      </c>
      <c r="D7" s="279" t="s">
        <v>612</v>
      </c>
      <c r="E7" s="566"/>
      <c r="F7" s="566"/>
    </row>
    <row r="8" ht="12.75">
      <c r="A8" s="280" t="s">
        <v>613</v>
      </c>
    </row>
    <row r="9" ht="12.75">
      <c r="A9" s="281" t="s">
        <v>614</v>
      </c>
    </row>
    <row r="10" spans="1:6" ht="12.75">
      <c r="A10" s="281" t="s">
        <v>615</v>
      </c>
      <c r="C10" s="89">
        <f>'CF 2QTR'!D11</f>
        <v>61734457</v>
      </c>
      <c r="D10" s="89">
        <v>23612131</v>
      </c>
      <c r="E10" s="89">
        <v>23612131</v>
      </c>
      <c r="F10" s="89">
        <f>D10-E10</f>
        <v>0</v>
      </c>
    </row>
    <row r="11" spans="1:6" ht="12.75">
      <c r="A11" s="281" t="s">
        <v>616</v>
      </c>
      <c r="C11" s="89">
        <f>'CF 2QTR'!D12</f>
        <v>20458708.35</v>
      </c>
      <c r="D11" s="89">
        <v>34791874.47</v>
      </c>
      <c r="E11" s="89">
        <v>34791874.47</v>
      </c>
      <c r="F11" s="89">
        <f>D11-E11</f>
        <v>0</v>
      </c>
    </row>
    <row r="12" spans="1:6" ht="12.75">
      <c r="A12" s="201" t="s">
        <v>624</v>
      </c>
      <c r="C12" s="89">
        <f>'CF 2QTR'!D13</f>
        <v>2758177.34</v>
      </c>
      <c r="D12" s="89">
        <v>233908.5</v>
      </c>
      <c r="E12" s="89">
        <v>233908.5</v>
      </c>
      <c r="F12" s="89"/>
    </row>
    <row r="13" spans="1:6" ht="12.75">
      <c r="A13" s="201" t="s">
        <v>625</v>
      </c>
      <c r="C13" s="89">
        <f>'CF 2QTR'!D14</f>
        <v>0</v>
      </c>
      <c r="D13" s="89">
        <v>15000</v>
      </c>
      <c r="E13" s="89">
        <v>15000</v>
      </c>
      <c r="F13" s="89"/>
    </row>
    <row r="14" spans="1:6" ht="12.75">
      <c r="A14" s="280" t="s">
        <v>617</v>
      </c>
      <c r="C14" s="260">
        <f>SUM(C10:C13)</f>
        <v>84951342.69</v>
      </c>
      <c r="D14" s="260">
        <v>58652913.97</v>
      </c>
      <c r="E14" s="260">
        <v>58652913.97</v>
      </c>
      <c r="F14" s="282">
        <f>D14-E14</f>
        <v>0</v>
      </c>
    </row>
    <row r="15" spans="3:6" ht="12.75">
      <c r="C15" s="89"/>
      <c r="D15" s="89"/>
      <c r="E15" s="89"/>
      <c r="F15" s="89"/>
    </row>
    <row r="16" spans="1:6" ht="12.75">
      <c r="A16" s="280" t="s">
        <v>618</v>
      </c>
      <c r="C16" s="89"/>
      <c r="D16" s="89"/>
      <c r="E16" s="89"/>
      <c r="F16" s="89"/>
    </row>
    <row r="17" spans="1:6" ht="12.75">
      <c r="A17" s="281" t="s">
        <v>619</v>
      </c>
      <c r="C17" s="89">
        <f>'CF 2QTR'!D19+'CF 2QTR'!D51</f>
        <v>0</v>
      </c>
      <c r="D17" s="89">
        <v>4708503.73</v>
      </c>
      <c r="E17" s="89">
        <v>4708503.73</v>
      </c>
      <c r="F17" s="89">
        <f>D17-E17</f>
        <v>0</v>
      </c>
    </row>
    <row r="18" spans="1:6" ht="12.75">
      <c r="A18" s="281" t="s">
        <v>620</v>
      </c>
      <c r="C18" s="89">
        <f>34009717.12-C17+15000</f>
        <v>34024717.12</v>
      </c>
      <c r="D18" s="89">
        <f>34009717.12-D17+15000</f>
        <v>29316213.389999997</v>
      </c>
      <c r="E18" s="89">
        <f>34009717.12-E17+15000</f>
        <v>29316213.389999997</v>
      </c>
      <c r="F18" s="89">
        <f>D18-E18</f>
        <v>0</v>
      </c>
    </row>
    <row r="19" spans="1:6" ht="12.75">
      <c r="A19" s="281" t="s">
        <v>621</v>
      </c>
      <c r="C19" s="89">
        <v>0</v>
      </c>
      <c r="D19" s="89">
        <v>0</v>
      </c>
      <c r="E19" s="89">
        <v>0</v>
      </c>
      <c r="F19" s="89">
        <f>D19-E19</f>
        <v>0</v>
      </c>
    </row>
    <row r="20" spans="1:6" ht="12.75">
      <c r="A20" s="280" t="s">
        <v>622</v>
      </c>
      <c r="C20" s="260">
        <f>SUM(C17:C19)</f>
        <v>34024717.12</v>
      </c>
      <c r="D20" s="260">
        <v>34009717.12</v>
      </c>
      <c r="E20" s="260">
        <v>34009717.12</v>
      </c>
      <c r="F20" s="282">
        <f>D20-E20</f>
        <v>0</v>
      </c>
    </row>
    <row r="21" spans="3:6" ht="12.75">
      <c r="C21" s="89"/>
      <c r="D21" s="89"/>
      <c r="E21" s="89"/>
      <c r="F21" s="89"/>
    </row>
    <row r="22" spans="1:6" ht="13.5" thickBot="1">
      <c r="A22" s="280" t="s">
        <v>623</v>
      </c>
      <c r="C22" s="283">
        <f>C14-C20</f>
        <v>50926625.57</v>
      </c>
      <c r="D22" s="283">
        <v>24643196.85</v>
      </c>
      <c r="E22" s="283">
        <v>24643196.85</v>
      </c>
      <c r="F22" s="284">
        <f>D22-E22</f>
        <v>0</v>
      </c>
    </row>
    <row r="23" ht="13.5" thickTop="1"/>
    <row r="26" spans="1:4" ht="12.75">
      <c r="A26" s="16" t="s">
        <v>25</v>
      </c>
      <c r="B26" s="77"/>
      <c r="C26" s="1"/>
      <c r="D26" s="1" t="s">
        <v>55</v>
      </c>
    </row>
    <row r="27" spans="1:4" ht="12.75">
      <c r="A27" s="16"/>
      <c r="B27" s="77"/>
      <c r="C27" s="99"/>
      <c r="D27" s="99"/>
    </row>
    <row r="28" spans="1:4" ht="12.75">
      <c r="A28" s="16"/>
      <c r="B28" s="77"/>
      <c r="C28" s="100"/>
      <c r="D28" s="100"/>
    </row>
    <row r="29" spans="1:4" ht="12.75">
      <c r="A29" s="17" t="s">
        <v>222</v>
      </c>
      <c r="B29" s="77"/>
      <c r="C29" s="20"/>
      <c r="D29" s="20" t="s">
        <v>223</v>
      </c>
    </row>
    <row r="30" spans="1:4" ht="12.75">
      <c r="A30" s="16" t="s">
        <v>26</v>
      </c>
      <c r="B30" s="77"/>
      <c r="C30" s="1"/>
      <c r="D30" s="1" t="s">
        <v>224</v>
      </c>
    </row>
  </sheetData>
  <sheetProtection/>
  <mergeCells count="9">
    <mergeCell ref="A1:F1"/>
    <mergeCell ref="A2:F2"/>
    <mergeCell ref="A3:F3"/>
    <mergeCell ref="A4:F4"/>
    <mergeCell ref="A6:A7"/>
    <mergeCell ref="B6:B7"/>
    <mergeCell ref="C6:D6"/>
    <mergeCell ref="E6:E7"/>
    <mergeCell ref="F6:F7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4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4.57421875" style="30" customWidth="1"/>
    <col min="5" max="6" width="13.57421875" style="30" customWidth="1"/>
    <col min="7" max="7" width="10.00390625" style="30" customWidth="1"/>
    <col min="8" max="8" width="10.28125" style="30" customWidth="1"/>
    <col min="9" max="10" width="10.421875" style="30" customWidth="1"/>
    <col min="11" max="11" width="14.140625" style="30" customWidth="1"/>
    <col min="12" max="12" width="14.0039062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770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558" t="s">
        <v>5</v>
      </c>
      <c r="B10" s="35" t="s">
        <v>4</v>
      </c>
      <c r="C10" s="538" t="s">
        <v>763</v>
      </c>
      <c r="D10" s="539"/>
      <c r="E10" s="537" t="s">
        <v>49</v>
      </c>
      <c r="F10" s="537"/>
      <c r="G10" s="538" t="s">
        <v>54</v>
      </c>
      <c r="H10" s="539"/>
      <c r="I10" s="537" t="s">
        <v>48</v>
      </c>
      <c r="J10" s="539"/>
      <c r="K10" s="538" t="s">
        <v>57</v>
      </c>
      <c r="L10" s="539"/>
      <c r="M10" s="538" t="s">
        <v>50</v>
      </c>
      <c r="N10" s="537"/>
      <c r="O10" s="545" t="s">
        <v>7</v>
      </c>
      <c r="P10" s="556" t="s">
        <v>8</v>
      </c>
    </row>
    <row r="11" spans="1:16" ht="16.5" thickBot="1">
      <c r="A11" s="559"/>
      <c r="B11" s="117" t="s">
        <v>6</v>
      </c>
      <c r="C11" s="105" t="s">
        <v>7</v>
      </c>
      <c r="D11" s="106" t="s">
        <v>8</v>
      </c>
      <c r="E11" s="118" t="s">
        <v>7</v>
      </c>
      <c r="F11" s="117" t="s">
        <v>8</v>
      </c>
      <c r="G11" s="105" t="s">
        <v>7</v>
      </c>
      <c r="H11" s="106" t="s">
        <v>8</v>
      </c>
      <c r="I11" s="118" t="s">
        <v>7</v>
      </c>
      <c r="J11" s="106" t="s">
        <v>8</v>
      </c>
      <c r="K11" s="105" t="s">
        <v>7</v>
      </c>
      <c r="L11" s="106" t="s">
        <v>8</v>
      </c>
      <c r="M11" s="105" t="s">
        <v>7</v>
      </c>
      <c r="N11" s="117" t="s">
        <v>8</v>
      </c>
      <c r="O11" s="546"/>
      <c r="P11" s="557"/>
    </row>
    <row r="12" spans="1:16" ht="13.5" customHeight="1">
      <c r="A12" s="40"/>
      <c r="B12" s="504"/>
      <c r="C12" s="111"/>
      <c r="D12" s="70"/>
      <c r="E12" s="502"/>
      <c r="F12" s="41"/>
      <c r="G12" s="40"/>
      <c r="H12" s="42"/>
      <c r="I12" s="502"/>
      <c r="J12" s="41"/>
      <c r="K12" s="40"/>
      <c r="L12" s="42"/>
      <c r="M12" s="40"/>
      <c r="N12" s="41"/>
      <c r="O12" s="327"/>
      <c r="P12" s="114"/>
    </row>
    <row r="13" spans="1:16" ht="12.75" customHeight="1">
      <c r="A13" s="4" t="s">
        <v>9</v>
      </c>
      <c r="B13" s="505"/>
      <c r="C13" s="29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56"/>
      <c r="P13" s="115"/>
    </row>
    <row r="14" spans="1:16" ht="12.75">
      <c r="A14" s="102" t="s">
        <v>678</v>
      </c>
      <c r="B14" s="262" t="s">
        <v>679</v>
      </c>
      <c r="C14" s="484">
        <f>Jun20!O14</f>
        <v>0</v>
      </c>
      <c r="D14" s="10">
        <f>Jun20!P14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8">
        <f aca="true" t="shared" si="0" ref="O14:O33">C14+E14+I14+M14-D14-F14-J14-N14+G14-H14+K14-L14</f>
        <v>0</v>
      </c>
      <c r="P14" s="22"/>
    </row>
    <row r="15" spans="1:16" s="29" customFormat="1" ht="12.75">
      <c r="A15" s="49" t="s">
        <v>101</v>
      </c>
      <c r="B15" s="262" t="s">
        <v>100</v>
      </c>
      <c r="C15" s="484">
        <f>Jun20!O15</f>
        <v>35000</v>
      </c>
      <c r="D15" s="22">
        <f>Jun20!P15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8">
        <f t="shared" si="0"/>
        <v>35000</v>
      </c>
      <c r="P15" s="22"/>
    </row>
    <row r="16" spans="1:16" s="29" customFormat="1" ht="12.75">
      <c r="A16" s="49" t="s">
        <v>589</v>
      </c>
      <c r="B16" s="262" t="s">
        <v>230</v>
      </c>
      <c r="C16" s="484">
        <f>Jun20!O16</f>
        <v>333912.42</v>
      </c>
      <c r="D16" s="22">
        <f>Jun20!P16</f>
        <v>0</v>
      </c>
      <c r="E16" s="9"/>
      <c r="F16" s="11"/>
      <c r="G16" s="14"/>
      <c r="H16" s="46"/>
      <c r="I16" s="9"/>
      <c r="J16" s="47"/>
      <c r="K16" s="14"/>
      <c r="L16" s="46"/>
      <c r="M16" s="14"/>
      <c r="N16" s="51"/>
      <c r="O16" s="18">
        <f t="shared" si="0"/>
        <v>333912.42</v>
      </c>
      <c r="P16" s="22"/>
    </row>
    <row r="17" spans="1:16" s="29" customFormat="1" ht="12.75">
      <c r="A17" s="49" t="s">
        <v>636</v>
      </c>
      <c r="B17" s="262" t="s">
        <v>590</v>
      </c>
      <c r="C17" s="484">
        <f>Jun20!O17</f>
        <v>0</v>
      </c>
      <c r="D17" s="10">
        <f>Jun20!P17</f>
        <v>0</v>
      </c>
      <c r="E17" s="9"/>
      <c r="F17" s="51"/>
      <c r="G17" s="14"/>
      <c r="H17" s="46"/>
      <c r="I17" s="9"/>
      <c r="J17" s="51"/>
      <c r="K17" s="14"/>
      <c r="L17" s="10"/>
      <c r="M17" s="51"/>
      <c r="N17" s="51"/>
      <c r="O17" s="18">
        <f t="shared" si="0"/>
        <v>0</v>
      </c>
      <c r="P17" s="22"/>
    </row>
    <row r="18" spans="1:16" s="29" customFormat="1" ht="12.75">
      <c r="A18" s="49" t="s">
        <v>103</v>
      </c>
      <c r="B18" s="262" t="s">
        <v>102</v>
      </c>
      <c r="C18" s="484">
        <f>Jun20!O18</f>
        <v>34199.99999999255</v>
      </c>
      <c r="D18" s="22">
        <f>Jun20!P18</f>
        <v>0</v>
      </c>
      <c r="E18" s="9"/>
      <c r="F18" s="51">
        <v>4828099.59</v>
      </c>
      <c r="G18" s="14"/>
      <c r="H18" s="46"/>
      <c r="I18" s="9"/>
      <c r="J18" s="51"/>
      <c r="K18" s="14"/>
      <c r="L18" s="10"/>
      <c r="M18" s="14">
        <f>30592000+46602648.2+1035928+5379092+292564.5</f>
        <v>83902232.7</v>
      </c>
      <c r="N18" s="51"/>
      <c r="O18" s="18">
        <f t="shared" si="0"/>
        <v>79108333.10999998</v>
      </c>
      <c r="P18" s="22"/>
    </row>
    <row r="19" spans="1:16" s="29" customFormat="1" ht="12.75">
      <c r="A19" s="49" t="s">
        <v>10</v>
      </c>
      <c r="B19" s="262" t="s">
        <v>104</v>
      </c>
      <c r="C19" s="484">
        <f>Jun20!O19</f>
        <v>12594403.790000001</v>
      </c>
      <c r="D19" s="22">
        <f>Jun20!P19</f>
        <v>0</v>
      </c>
      <c r="E19" s="9"/>
      <c r="F19" s="51"/>
      <c r="G19" s="14"/>
      <c r="H19" s="46"/>
      <c r="I19" s="9"/>
      <c r="J19" s="51"/>
      <c r="K19" s="14">
        <v>278731.1</v>
      </c>
      <c r="L19" s="10"/>
      <c r="M19" s="14"/>
      <c r="N19" s="51"/>
      <c r="O19" s="18">
        <f t="shared" si="0"/>
        <v>12873134.89</v>
      </c>
      <c r="P19" s="22"/>
    </row>
    <row r="20" spans="1:16" s="29" customFormat="1" ht="12.75">
      <c r="A20" s="49" t="s">
        <v>567</v>
      </c>
      <c r="B20" s="262" t="s">
        <v>568</v>
      </c>
      <c r="C20" s="484">
        <f>Jun20!O20</f>
        <v>22235986.29</v>
      </c>
      <c r="D20" s="10">
        <f>Jun20!P20</f>
        <v>0</v>
      </c>
      <c r="E20" s="9">
        <v>1595</v>
      </c>
      <c r="F20" s="52"/>
      <c r="G20" s="14"/>
      <c r="H20" s="53"/>
      <c r="I20" s="9"/>
      <c r="J20" s="52"/>
      <c r="K20" s="14"/>
      <c r="L20" s="12"/>
      <c r="M20" s="14"/>
      <c r="N20" s="12"/>
      <c r="O20" s="18">
        <f t="shared" si="0"/>
        <v>22237581.29</v>
      </c>
      <c r="P20" s="22"/>
    </row>
    <row r="21" spans="1:16" s="29" customFormat="1" ht="12.75">
      <c r="A21" s="49" t="s">
        <v>225</v>
      </c>
      <c r="B21" s="263" t="s">
        <v>226</v>
      </c>
      <c r="C21" s="484">
        <f>Jun20!O21</f>
        <v>497000</v>
      </c>
      <c r="D21" s="22">
        <f>Jun20!P21</f>
        <v>0</v>
      </c>
      <c r="E21" s="9"/>
      <c r="F21" s="52"/>
      <c r="G21" s="14"/>
      <c r="H21" s="53"/>
      <c r="I21" s="9"/>
      <c r="J21" s="52"/>
      <c r="K21" s="14"/>
      <c r="L21" s="53"/>
      <c r="M21" s="14"/>
      <c r="N21" s="52"/>
      <c r="O21" s="18">
        <f t="shared" si="0"/>
        <v>497000</v>
      </c>
      <c r="P21" s="22"/>
    </row>
    <row r="22" spans="1:16" s="29" customFormat="1" ht="12.75">
      <c r="A22" s="49" t="s">
        <v>11</v>
      </c>
      <c r="B22" s="262" t="s">
        <v>105</v>
      </c>
      <c r="C22" s="484">
        <f>Jun20!O22</f>
        <v>454112.22</v>
      </c>
      <c r="D22" s="22">
        <f>Jun20!P22</f>
        <v>0</v>
      </c>
      <c r="E22" s="9">
        <v>29560</v>
      </c>
      <c r="F22" s="52"/>
      <c r="G22" s="14"/>
      <c r="H22" s="53"/>
      <c r="I22" s="9"/>
      <c r="J22" s="52"/>
      <c r="K22" s="14"/>
      <c r="L22" s="53"/>
      <c r="M22" s="14"/>
      <c r="N22" s="52"/>
      <c r="O22" s="18">
        <f t="shared" si="0"/>
        <v>483672.22</v>
      </c>
      <c r="P22" s="122"/>
    </row>
    <row r="23" spans="1:16" s="29" customFormat="1" ht="12.75">
      <c r="A23" s="74" t="s">
        <v>108</v>
      </c>
      <c r="B23" s="264" t="s">
        <v>106</v>
      </c>
      <c r="C23" s="484">
        <f>Jun20!O23</f>
        <v>1600</v>
      </c>
      <c r="D23" s="10">
        <f>Jun20!P23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18">
        <f t="shared" si="0"/>
        <v>1600</v>
      </c>
      <c r="P23" s="122"/>
    </row>
    <row r="24" spans="1:16" s="29" customFormat="1" ht="12.75" hidden="1">
      <c r="A24" s="49" t="s">
        <v>109</v>
      </c>
      <c r="B24" s="262" t="s">
        <v>107</v>
      </c>
      <c r="C24" s="484">
        <f>Jun20!O24</f>
        <v>0</v>
      </c>
      <c r="D24" s="22">
        <f>Jun20!P24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8">
        <f t="shared" si="0"/>
        <v>0</v>
      </c>
      <c r="P24" s="122"/>
    </row>
    <row r="25" spans="1:16" s="29" customFormat="1" ht="12.75" hidden="1">
      <c r="A25" s="49" t="s">
        <v>239</v>
      </c>
      <c r="B25" s="263" t="s">
        <v>240</v>
      </c>
      <c r="C25" s="484">
        <f>Jun20!O25</f>
        <v>0</v>
      </c>
      <c r="D25" s="22">
        <f>Jun20!P25</f>
        <v>0</v>
      </c>
      <c r="E25" s="9"/>
      <c r="F25" s="52"/>
      <c r="G25" s="14"/>
      <c r="H25" s="98"/>
      <c r="I25" s="9"/>
      <c r="J25" s="52"/>
      <c r="K25" s="14"/>
      <c r="L25" s="53"/>
      <c r="M25" s="14"/>
      <c r="N25" s="52"/>
      <c r="O25" s="18">
        <f t="shared" si="0"/>
        <v>0</v>
      </c>
      <c r="P25" s="122"/>
    </row>
    <row r="26" spans="1:16" s="29" customFormat="1" ht="12.75" hidden="1">
      <c r="A26" s="49" t="s">
        <v>238</v>
      </c>
      <c r="B26" s="263" t="s">
        <v>231</v>
      </c>
      <c r="C26" s="484">
        <f>Jun20!O26</f>
        <v>0</v>
      </c>
      <c r="D26" s="10">
        <f>Jun20!P26</f>
        <v>0</v>
      </c>
      <c r="E26" s="9"/>
      <c r="F26" s="52"/>
      <c r="G26" s="14"/>
      <c r="H26" s="98"/>
      <c r="I26" s="9"/>
      <c r="J26" s="52"/>
      <c r="K26" s="14"/>
      <c r="L26" s="53"/>
      <c r="M26" s="14"/>
      <c r="N26" s="52"/>
      <c r="O26" s="18">
        <f t="shared" si="0"/>
        <v>0</v>
      </c>
      <c r="P26" s="122"/>
    </row>
    <row r="27" spans="1:16" s="29" customFormat="1" ht="12.75" hidden="1">
      <c r="A27" s="49" t="s">
        <v>534</v>
      </c>
      <c r="B27" s="263" t="s">
        <v>526</v>
      </c>
      <c r="C27" s="484">
        <f>Jun20!O27</f>
        <v>0</v>
      </c>
      <c r="D27" s="22">
        <f>Jun20!P27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8">
        <f t="shared" si="0"/>
        <v>0</v>
      </c>
      <c r="P27" s="122"/>
    </row>
    <row r="28" spans="1:16" s="29" customFormat="1" ht="12.75" hidden="1">
      <c r="A28" s="49" t="s">
        <v>315</v>
      </c>
      <c r="B28" s="262" t="s">
        <v>110</v>
      </c>
      <c r="C28" s="484">
        <f>Jun20!O28</f>
        <v>0</v>
      </c>
      <c r="D28" s="22">
        <f>Jun20!P28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8">
        <f t="shared" si="0"/>
        <v>0</v>
      </c>
      <c r="P28" s="122"/>
    </row>
    <row r="29" spans="1:16" s="29" customFormat="1" ht="12.75">
      <c r="A29" s="49" t="s">
        <v>213</v>
      </c>
      <c r="B29" s="262" t="s">
        <v>209</v>
      </c>
      <c r="C29" s="484">
        <f>Jun20!O29</f>
        <v>14099.309999999998</v>
      </c>
      <c r="D29" s="10">
        <f>Jun20!P29</f>
        <v>0</v>
      </c>
      <c r="E29" s="9"/>
      <c r="F29" s="52"/>
      <c r="G29" s="14"/>
      <c r="H29" s="53"/>
      <c r="I29" s="9"/>
      <c r="J29" s="52"/>
      <c r="K29" s="14"/>
      <c r="L29" s="53"/>
      <c r="M29" s="14"/>
      <c r="N29" s="52">
        <v>14099.31</v>
      </c>
      <c r="O29" s="18">
        <f t="shared" si="0"/>
        <v>-1.8189894035458565E-12</v>
      </c>
      <c r="P29" s="122"/>
    </row>
    <row r="30" spans="1:16" s="29" customFormat="1" ht="12.75">
      <c r="A30" s="49" t="s">
        <v>201</v>
      </c>
      <c r="B30" s="262" t="s">
        <v>200</v>
      </c>
      <c r="C30" s="484">
        <f>Jun20!O30</f>
        <v>0</v>
      </c>
      <c r="D30" s="22">
        <f>Jun20!P30</f>
        <v>0</v>
      </c>
      <c r="E30" s="9"/>
      <c r="F30" s="52"/>
      <c r="G30" s="14"/>
      <c r="H30" s="53"/>
      <c r="I30" s="9"/>
      <c r="J30" s="52"/>
      <c r="K30" s="14"/>
      <c r="L30" s="53"/>
      <c r="M30" s="14"/>
      <c r="N30" s="52"/>
      <c r="O30" s="18">
        <f t="shared" si="0"/>
        <v>0</v>
      </c>
      <c r="P30" s="122"/>
    </row>
    <row r="31" spans="1:16" s="29" customFormat="1" ht="12.75">
      <c r="A31" s="49" t="s">
        <v>202</v>
      </c>
      <c r="B31" s="262" t="s">
        <v>203</v>
      </c>
      <c r="C31" s="484">
        <f>Jun20!O31</f>
        <v>0</v>
      </c>
      <c r="D31" s="22">
        <f>Jun20!P31</f>
        <v>0</v>
      </c>
      <c r="E31" s="9">
        <v>10678</v>
      </c>
      <c r="F31" s="52">
        <v>10678</v>
      </c>
      <c r="G31" s="14"/>
      <c r="H31" s="12"/>
      <c r="I31" s="9"/>
      <c r="J31" s="52"/>
      <c r="K31" s="14"/>
      <c r="L31" s="12"/>
      <c r="M31" s="14"/>
      <c r="N31" s="52"/>
      <c r="O31" s="18">
        <f t="shared" si="0"/>
        <v>0</v>
      </c>
      <c r="P31" s="122"/>
    </row>
    <row r="32" spans="1:16" s="29" customFormat="1" ht="12.75">
      <c r="A32" s="49" t="s">
        <v>727</v>
      </c>
      <c r="B32" s="262" t="s">
        <v>728</v>
      </c>
      <c r="C32" s="484">
        <f>Jun20!O32</f>
        <v>15395669.18</v>
      </c>
      <c r="D32" s="10">
        <f>Jun20!P32</f>
        <v>0</v>
      </c>
      <c r="E32" s="9"/>
      <c r="F32" s="52"/>
      <c r="G32" s="14"/>
      <c r="H32" s="12"/>
      <c r="I32" s="9"/>
      <c r="J32" s="52"/>
      <c r="K32" s="14"/>
      <c r="L32" s="12">
        <v>278731.1</v>
      </c>
      <c r="M32" s="14"/>
      <c r="N32" s="52"/>
      <c r="O32" s="18">
        <f t="shared" si="0"/>
        <v>15116938.08</v>
      </c>
      <c r="P32" s="122"/>
    </row>
    <row r="33" spans="1:16" s="29" customFormat="1" ht="12.75">
      <c r="A33" s="49" t="s">
        <v>12</v>
      </c>
      <c r="B33" s="262" t="s">
        <v>111</v>
      </c>
      <c r="C33" s="484">
        <f>Jun20!O33</f>
        <v>1208049.99</v>
      </c>
      <c r="D33" s="22">
        <f>Jun20!P33</f>
        <v>0</v>
      </c>
      <c r="E33" s="9"/>
      <c r="F33" s="52"/>
      <c r="G33" s="14"/>
      <c r="H33" s="12"/>
      <c r="I33" s="9"/>
      <c r="J33" s="52"/>
      <c r="K33" s="14"/>
      <c r="L33" s="12"/>
      <c r="M33" s="14"/>
      <c r="N33" s="52"/>
      <c r="O33" s="511">
        <f t="shared" si="0"/>
        <v>1208049.99</v>
      </c>
      <c r="P33" s="122"/>
    </row>
    <row r="34" spans="1:16" s="29" customFormat="1" ht="12.75">
      <c r="A34" s="49" t="s">
        <v>120</v>
      </c>
      <c r="B34" s="262" t="s">
        <v>112</v>
      </c>
      <c r="C34" s="484">
        <f>Jun20!O34</f>
        <v>0</v>
      </c>
      <c r="D34" s="22">
        <f>Jun20!P34</f>
        <v>364327.7</v>
      </c>
      <c r="E34" s="9"/>
      <c r="F34" s="52"/>
      <c r="G34" s="14"/>
      <c r="H34" s="12"/>
      <c r="I34" s="9"/>
      <c r="J34" s="52"/>
      <c r="K34" s="14"/>
      <c r="L34" s="12"/>
      <c r="M34" s="14"/>
      <c r="N34" s="52"/>
      <c r="O34" s="18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262" t="s">
        <v>113</v>
      </c>
      <c r="C35" s="484">
        <f>Jun20!O35</f>
        <v>718378</v>
      </c>
      <c r="D35" s="10">
        <f>Jun20!P35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52"/>
      <c r="O35" s="18">
        <f>C35+E35+I35+M35-D35-F35-J35-N35+G35-H35+K35-L35</f>
        <v>718378</v>
      </c>
      <c r="P35" s="122"/>
    </row>
    <row r="36" spans="1:16" s="29" customFormat="1" ht="12.75">
      <c r="A36" s="49" t="s">
        <v>115</v>
      </c>
      <c r="B36" s="262" t="s">
        <v>121</v>
      </c>
      <c r="C36" s="484">
        <f>Jun20!O36</f>
        <v>0</v>
      </c>
      <c r="D36" s="22">
        <f>Jun20!P36</f>
        <v>422310.89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8"/>
      <c r="P36" s="122">
        <f>D36+F36+J36+N36+H36-E36-G36-I36-M36+L36-K36</f>
        <v>422310.89</v>
      </c>
    </row>
    <row r="37" spans="1:16" s="29" customFormat="1" ht="12.75">
      <c r="A37" s="49" t="s">
        <v>780</v>
      </c>
      <c r="B37" s="262" t="s">
        <v>778</v>
      </c>
      <c r="C37" s="484">
        <f>Jun20!O37</f>
        <v>40426250</v>
      </c>
      <c r="D37" s="22">
        <f>Jun20!P37</f>
        <v>0</v>
      </c>
      <c r="E37" s="9">
        <v>876600</v>
      </c>
      <c r="F37" s="52"/>
      <c r="G37" s="14"/>
      <c r="H37" s="12"/>
      <c r="I37" s="9"/>
      <c r="J37" s="52"/>
      <c r="K37" s="14"/>
      <c r="L37" s="12"/>
      <c r="M37" s="14"/>
      <c r="N37" s="52"/>
      <c r="O37" s="18">
        <f>C37+E37+I37+M37-D37-F37-J37-N37+G37-H37+K37-L37</f>
        <v>41302850</v>
      </c>
      <c r="P37" s="122"/>
    </row>
    <row r="38" spans="1:16" s="29" customFormat="1" ht="12.75">
      <c r="A38" s="49" t="s">
        <v>781</v>
      </c>
      <c r="B38" s="262" t="s">
        <v>779</v>
      </c>
      <c r="C38" s="484">
        <f>Jun20!O38</f>
        <v>0</v>
      </c>
      <c r="D38" s="10">
        <f>Jun20!P38</f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52">
        <v>213360.76</v>
      </c>
      <c r="O38" s="18"/>
      <c r="P38" s="122">
        <f>D38+F38+J38+N38+H38-E38-G38-I38-M38+L38-K38</f>
        <v>213360.76</v>
      </c>
    </row>
    <row r="39" spans="1:16" s="29" customFormat="1" ht="12.75">
      <c r="A39" s="49" t="s">
        <v>782</v>
      </c>
      <c r="B39" s="262" t="s">
        <v>783</v>
      </c>
      <c r="C39" s="484">
        <f>Jun20!O39</f>
        <v>0</v>
      </c>
      <c r="D39" s="22">
        <f>Jun20!P39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8">
        <f>C39+E39+I39+M39-D39-F39-J39-N39+G39-H39+K39-L39</f>
        <v>0</v>
      </c>
      <c r="P39" s="122"/>
    </row>
    <row r="40" spans="1:16" s="29" customFormat="1" ht="12.75">
      <c r="A40" s="49" t="s">
        <v>784</v>
      </c>
      <c r="B40" s="262" t="s">
        <v>785</v>
      </c>
      <c r="C40" s="484">
        <f>Jun20!O40</f>
        <v>0</v>
      </c>
      <c r="D40" s="22">
        <f>Jun20!P40</f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8"/>
      <c r="P40" s="122">
        <f>D40+F40+J40+N40+H40-E40-G40-I40-M40+L40-K40</f>
        <v>0</v>
      </c>
    </row>
    <row r="41" spans="1:16" s="29" customFormat="1" ht="12.75">
      <c r="A41" s="49" t="s">
        <v>786</v>
      </c>
      <c r="B41" s="262" t="s">
        <v>788</v>
      </c>
      <c r="C41" s="484"/>
      <c r="D41" s="22"/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511">
        <f>C41+E41+I41+M41-D41-F41-J41-N41+G41-H41+K41-L41</f>
        <v>0</v>
      </c>
      <c r="P41" s="122"/>
    </row>
    <row r="42" spans="1:16" s="29" customFormat="1" ht="12.75">
      <c r="A42" s="49" t="s">
        <v>787</v>
      </c>
      <c r="B42" s="262" t="s">
        <v>789</v>
      </c>
      <c r="C42" s="484"/>
      <c r="D42" s="22"/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8"/>
      <c r="P42" s="122"/>
    </row>
    <row r="43" spans="1:16" s="29" customFormat="1" ht="12.75">
      <c r="A43" s="49" t="s">
        <v>530</v>
      </c>
      <c r="B43" s="262" t="s">
        <v>533</v>
      </c>
      <c r="C43" s="484">
        <f>Jun20!O43</f>
        <v>40622</v>
      </c>
      <c r="D43" s="10">
        <f>Jun20!P43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8">
        <f>C43+E43+I43+M43-D43-F43-J43-N43+G43-H43+K43-L43</f>
        <v>40622</v>
      </c>
      <c r="P43" s="122"/>
    </row>
    <row r="44" spans="1:16" s="29" customFormat="1" ht="12.75">
      <c r="A44" s="49" t="s">
        <v>531</v>
      </c>
      <c r="B44" s="262" t="s">
        <v>532</v>
      </c>
      <c r="C44" s="484">
        <f>Jun20!O44</f>
        <v>0</v>
      </c>
      <c r="D44" s="22">
        <f>Jun20!P44</f>
        <v>9647.73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8"/>
      <c r="P44" s="122">
        <f>D44+F44+J44+N44+H44-E44-G44-I44-M44+L44-K44</f>
        <v>9647.73</v>
      </c>
    </row>
    <row r="45" spans="1:16" s="29" customFormat="1" ht="12.75">
      <c r="A45" s="49" t="s">
        <v>128</v>
      </c>
      <c r="B45" s="262" t="s">
        <v>130</v>
      </c>
      <c r="C45" s="484">
        <f>Jun20!O45</f>
        <v>545970</v>
      </c>
      <c r="D45" s="22">
        <f>Jun20!P45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18">
        <f>C45+E45+I45+M45-D45-F45-J45-N45+G45-H45+K45-L45</f>
        <v>545970</v>
      </c>
      <c r="P45" s="122"/>
    </row>
    <row r="46" spans="1:16" s="29" customFormat="1" ht="12.75">
      <c r="A46" s="49" t="s">
        <v>129</v>
      </c>
      <c r="B46" s="262" t="s">
        <v>131</v>
      </c>
      <c r="C46" s="484">
        <f>Jun20!O46</f>
        <v>0</v>
      </c>
      <c r="D46" s="10">
        <f>Jun20!P46</f>
        <v>370243.56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18"/>
      <c r="P46" s="122">
        <f>D46+F46+J46+N46+H46-E46-G46-I46-M46+L46-K46</f>
        <v>370243.56</v>
      </c>
    </row>
    <row r="47" spans="1:16" s="29" customFormat="1" ht="12.75">
      <c r="A47" s="49" t="s">
        <v>41</v>
      </c>
      <c r="B47" s="262" t="s">
        <v>126</v>
      </c>
      <c r="C47" s="484">
        <f>Jun20!O47</f>
        <v>2391000</v>
      </c>
      <c r="D47" s="22">
        <f>Jun20!P47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8">
        <f>C47+E47+I47+M47-D47-F47-J47-N47+G47-H47+K47-L47</f>
        <v>2391000</v>
      </c>
      <c r="P47" s="122"/>
    </row>
    <row r="48" spans="1:16" s="29" customFormat="1" ht="12.75">
      <c r="A48" s="49" t="s">
        <v>42</v>
      </c>
      <c r="B48" s="262" t="s">
        <v>127</v>
      </c>
      <c r="C48" s="484">
        <f>Jun20!O48</f>
        <v>0</v>
      </c>
      <c r="D48" s="22">
        <f>Jun20!P48</f>
        <v>854100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8"/>
      <c r="P48" s="122">
        <f>D48+F48+J48+N48+H48-E48-G48-I48-M48+L48-K48</f>
        <v>854100</v>
      </c>
    </row>
    <row r="49" spans="1:16" s="29" customFormat="1" ht="12.75">
      <c r="A49" s="49" t="s">
        <v>13</v>
      </c>
      <c r="B49" s="262" t="s">
        <v>118</v>
      </c>
      <c r="C49" s="484">
        <f>Jun20!O49</f>
        <v>631727.2</v>
      </c>
      <c r="D49" s="10">
        <f>Jun20!P49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511">
        <f>C49+E49+I49+M49-D49-F49-J49-N49+G49-H49+K49-L49</f>
        <v>631727.2</v>
      </c>
      <c r="P49" s="122"/>
    </row>
    <row r="50" spans="1:16" s="29" customFormat="1" ht="12.75">
      <c r="A50" s="49" t="s">
        <v>14</v>
      </c>
      <c r="B50" s="262" t="s">
        <v>119</v>
      </c>
      <c r="C50" s="484">
        <f>Jun20!O50</f>
        <v>0</v>
      </c>
      <c r="D50" s="22">
        <f>Jun20!P50</f>
        <v>319092.84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8"/>
      <c r="P50" s="122">
        <f>D50+F50+J50+N50+H50-E50-G50-I50-M50+L50-K50</f>
        <v>319092.84</v>
      </c>
    </row>
    <row r="51" spans="1:17" s="29" customFormat="1" ht="12.75">
      <c r="A51" s="49" t="s">
        <v>680</v>
      </c>
      <c r="B51" s="262" t="s">
        <v>681</v>
      </c>
      <c r="C51" s="484">
        <f>Jun20!O51</f>
        <v>0</v>
      </c>
      <c r="D51" s="22">
        <f>Jun20!P51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8">
        <f>C51+E51+I51+M51-D51-F51-J51-N51+G51-H51+K51-L51</f>
        <v>0</v>
      </c>
      <c r="P51" s="122"/>
      <c r="Q51" s="55"/>
    </row>
    <row r="52" spans="1:17" s="29" customFormat="1" ht="12.75">
      <c r="A52" s="49" t="s">
        <v>683</v>
      </c>
      <c r="B52" s="262" t="s">
        <v>682</v>
      </c>
      <c r="C52" s="484">
        <f>Jun20!O52</f>
        <v>0</v>
      </c>
      <c r="D52" s="10">
        <f>Jun20!P52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8"/>
      <c r="P52" s="122">
        <f>D52+F52+J52+N52+H52-E52-G52-I52-M52+L52-K52</f>
        <v>0</v>
      </c>
      <c r="Q52" s="55"/>
    </row>
    <row r="53" spans="1:17" s="29" customFormat="1" ht="12.75">
      <c r="A53" s="49" t="s">
        <v>559</v>
      </c>
      <c r="B53" s="262" t="s">
        <v>558</v>
      </c>
      <c r="C53" s="484">
        <f>Jun20!O53</f>
        <v>0</v>
      </c>
      <c r="D53" s="22">
        <f>Jun20!P53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8">
        <f>C53+E53+I53+M53-D53-F53-J53-N53+G53-H53+K53-L53</f>
        <v>0</v>
      </c>
      <c r="P53" s="122"/>
      <c r="Q53" s="55"/>
    </row>
    <row r="54" spans="1:17" s="29" customFormat="1" ht="12.75">
      <c r="A54" s="54" t="s">
        <v>15</v>
      </c>
      <c r="B54" s="262" t="s">
        <v>132</v>
      </c>
      <c r="C54" s="484">
        <f>Jun20!O54</f>
        <v>327763.39</v>
      </c>
      <c r="D54" s="22">
        <f>Jun20!P54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18">
        <f>C54+E54+I54+M54-D54-F54-J54-N54+G54-H54+K54-L54</f>
        <v>327763.39</v>
      </c>
      <c r="P54" s="122"/>
      <c r="Q54" s="55"/>
    </row>
    <row r="55" spans="1:17" s="29" customFormat="1" ht="12.75" customHeight="1">
      <c r="A55" s="8"/>
      <c r="B55" s="508"/>
      <c r="C55" s="484">
        <f>Jun20!O55</f>
        <v>0</v>
      </c>
      <c r="D55" s="10">
        <f>Jun20!P55</f>
        <v>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8"/>
      <c r="P55" s="122"/>
      <c r="Q55" s="55"/>
    </row>
    <row r="56" spans="1:17" s="29" customFormat="1" ht="12.75" customHeight="1">
      <c r="A56" s="7" t="s">
        <v>16</v>
      </c>
      <c r="B56" s="508"/>
      <c r="C56" s="484">
        <f>Jun20!O56</f>
        <v>0</v>
      </c>
      <c r="D56" s="22">
        <f>Jun20!P56</f>
        <v>0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8"/>
      <c r="P56" s="122"/>
      <c r="Q56" s="55"/>
    </row>
    <row r="57" spans="1:16" s="29" customFormat="1" ht="12.75">
      <c r="A57" s="49" t="s">
        <v>31</v>
      </c>
      <c r="B57" s="506" t="s">
        <v>133</v>
      </c>
      <c r="C57" s="484">
        <f>Jun20!O57</f>
        <v>0</v>
      </c>
      <c r="D57" s="22">
        <f>Jun20!P57</f>
        <v>35250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18"/>
      <c r="P57" s="122">
        <f>D57+F57+J57+N57+H57-E57-G57-I57-M57+L57-K57</f>
        <v>35250</v>
      </c>
    </row>
    <row r="58" spans="1:16" s="29" customFormat="1" ht="12.75">
      <c r="A58" s="49" t="s">
        <v>46</v>
      </c>
      <c r="B58" s="506" t="s">
        <v>134</v>
      </c>
      <c r="C58" s="484">
        <f>Jun20!O58</f>
        <v>0</v>
      </c>
      <c r="D58" s="10">
        <f>Jun20!P58</f>
        <v>275339.65</v>
      </c>
      <c r="E58" s="9"/>
      <c r="F58" s="52">
        <v>217688.21</v>
      </c>
      <c r="G58" s="14"/>
      <c r="H58" s="12"/>
      <c r="I58" s="9"/>
      <c r="J58" s="52"/>
      <c r="K58" s="14"/>
      <c r="L58" s="12"/>
      <c r="M58" s="14">
        <v>275339.65</v>
      </c>
      <c r="N58" s="52"/>
      <c r="O58" s="18"/>
      <c r="P58" s="122">
        <f aca="true" t="shared" si="1" ref="P58:P66">D58+F58+J58+N58+H58-E58-G58-I58-M58+L58-K58</f>
        <v>217688.20999999996</v>
      </c>
    </row>
    <row r="59" spans="1:17" s="29" customFormat="1" ht="12.75">
      <c r="A59" s="74" t="s">
        <v>685</v>
      </c>
      <c r="B59" s="507" t="s">
        <v>684</v>
      </c>
      <c r="C59" s="484">
        <f>Jun20!O59</f>
        <v>0</v>
      </c>
      <c r="D59" s="22">
        <f>Jun20!P59</f>
        <v>553767.2700000003</v>
      </c>
      <c r="E59" s="9"/>
      <c r="F59" s="52">
        <v>99619.92</v>
      </c>
      <c r="G59" s="14"/>
      <c r="H59" s="12"/>
      <c r="I59" s="9"/>
      <c r="J59" s="52"/>
      <c r="K59" s="14"/>
      <c r="L59" s="12"/>
      <c r="M59" s="14"/>
      <c r="N59" s="14"/>
      <c r="O59" s="18"/>
      <c r="P59" s="122">
        <f t="shared" si="1"/>
        <v>653387.1900000003</v>
      </c>
      <c r="Q59" s="55"/>
    </row>
    <row r="60" spans="1:17" s="29" customFormat="1" ht="12.75">
      <c r="A60" s="74" t="s">
        <v>686</v>
      </c>
      <c r="B60" s="507" t="s">
        <v>688</v>
      </c>
      <c r="C60" s="484">
        <f>Jun20!O60</f>
        <v>0</v>
      </c>
      <c r="D60" s="22">
        <f>Jun20!P60</f>
        <v>10448.25999999998</v>
      </c>
      <c r="E60" s="9"/>
      <c r="F60" s="52"/>
      <c r="G60" s="14"/>
      <c r="H60" s="12"/>
      <c r="I60" s="9"/>
      <c r="J60" s="52"/>
      <c r="K60" s="14"/>
      <c r="L60" s="12"/>
      <c r="M60" s="14"/>
      <c r="N60" s="52"/>
      <c r="O60" s="18"/>
      <c r="P60" s="122">
        <f t="shared" si="1"/>
        <v>10448.25999999998</v>
      </c>
      <c r="Q60" s="55"/>
    </row>
    <row r="61" spans="1:17" s="29" customFormat="1" ht="12.75">
      <c r="A61" s="74" t="s">
        <v>687</v>
      </c>
      <c r="B61" s="507" t="s">
        <v>689</v>
      </c>
      <c r="C61" s="484">
        <f>Jun20!O61</f>
        <v>0</v>
      </c>
      <c r="D61" s="10">
        <f>Jun20!P61</f>
        <v>11777.859999999997</v>
      </c>
      <c r="E61" s="9"/>
      <c r="F61" s="52"/>
      <c r="G61" s="14"/>
      <c r="H61" s="12"/>
      <c r="I61" s="9"/>
      <c r="J61" s="52"/>
      <c r="K61" s="14"/>
      <c r="L61" s="12"/>
      <c r="M61" s="14"/>
      <c r="N61" s="52"/>
      <c r="O61" s="18"/>
      <c r="P61" s="122">
        <f t="shared" si="1"/>
        <v>11777.859999999997</v>
      </c>
      <c r="Q61" s="55"/>
    </row>
    <row r="62" spans="1:16" s="29" customFormat="1" ht="12.75">
      <c r="A62" s="49" t="s">
        <v>690</v>
      </c>
      <c r="B62" s="506" t="s">
        <v>692</v>
      </c>
      <c r="C62" s="484">
        <f>Jun20!O62</f>
        <v>0</v>
      </c>
      <c r="D62" s="22">
        <f>Jun20!P62</f>
        <v>5526.359999999999</v>
      </c>
      <c r="E62" s="9"/>
      <c r="F62" s="52">
        <v>3084.68</v>
      </c>
      <c r="G62" s="14"/>
      <c r="H62" s="12"/>
      <c r="I62" s="9"/>
      <c r="J62" s="52"/>
      <c r="K62" s="14"/>
      <c r="L62" s="12"/>
      <c r="M62" s="14"/>
      <c r="N62" s="14"/>
      <c r="O62" s="18"/>
      <c r="P62" s="122">
        <f t="shared" si="1"/>
        <v>8611.039999999999</v>
      </c>
    </row>
    <row r="63" spans="1:17" s="29" customFormat="1" ht="12.75">
      <c r="A63" s="49" t="s">
        <v>691</v>
      </c>
      <c r="B63" s="506" t="s">
        <v>693</v>
      </c>
      <c r="C63" s="484">
        <f>Jun20!O63</f>
        <v>0</v>
      </c>
      <c r="D63" s="22">
        <f>Jun20!P63</f>
        <v>2084.67</v>
      </c>
      <c r="E63" s="9"/>
      <c r="F63" s="52">
        <v>408.33</v>
      </c>
      <c r="G63" s="14"/>
      <c r="H63" s="12"/>
      <c r="I63" s="9"/>
      <c r="J63" s="52"/>
      <c r="K63" s="14"/>
      <c r="L63" s="12"/>
      <c r="M63" s="14"/>
      <c r="N63" s="52"/>
      <c r="O63" s="18"/>
      <c r="P63" s="122">
        <f t="shared" si="1"/>
        <v>2493</v>
      </c>
      <c r="Q63" s="55"/>
    </row>
    <row r="64" spans="1:17" s="29" customFormat="1" ht="12.75">
      <c r="A64" s="49" t="s">
        <v>47</v>
      </c>
      <c r="B64" s="506" t="s">
        <v>137</v>
      </c>
      <c r="C64" s="484">
        <f>Jun20!O64</f>
        <v>0</v>
      </c>
      <c r="D64" s="10">
        <f>Jun20!P64</f>
        <v>15714.96000000001</v>
      </c>
      <c r="E64" s="9"/>
      <c r="F64" s="52">
        <v>12757.56</v>
      </c>
      <c r="G64" s="14"/>
      <c r="H64" s="12"/>
      <c r="I64" s="9"/>
      <c r="J64" s="52"/>
      <c r="K64" s="14"/>
      <c r="L64" s="12"/>
      <c r="M64" s="14"/>
      <c r="N64" s="52"/>
      <c r="O64" s="18"/>
      <c r="P64" s="122">
        <f t="shared" si="1"/>
        <v>28472.52000000001</v>
      </c>
      <c r="Q64" s="55"/>
    </row>
    <row r="65" spans="1:17" s="29" customFormat="1" ht="12.75">
      <c r="A65" s="74" t="s">
        <v>59</v>
      </c>
      <c r="B65" s="507" t="s">
        <v>138</v>
      </c>
      <c r="C65" s="484">
        <f>Jun20!O65</f>
        <v>0</v>
      </c>
      <c r="D65" s="22">
        <f>Jun20!P65</f>
        <v>8399.370000000023</v>
      </c>
      <c r="E65" s="9">
        <v>102741.26</v>
      </c>
      <c r="F65" s="52">
        <v>114905.16</v>
      </c>
      <c r="G65" s="14"/>
      <c r="H65" s="12"/>
      <c r="I65" s="9"/>
      <c r="J65" s="52"/>
      <c r="K65" s="14"/>
      <c r="L65" s="12"/>
      <c r="M65" s="14"/>
      <c r="N65" s="52"/>
      <c r="O65" s="18"/>
      <c r="P65" s="122">
        <f t="shared" si="1"/>
        <v>20563.270000000033</v>
      </c>
      <c r="Q65" s="55"/>
    </row>
    <row r="66" spans="1:17" s="29" customFormat="1" ht="12.75">
      <c r="A66" s="49" t="s">
        <v>17</v>
      </c>
      <c r="B66" s="506" t="s">
        <v>139</v>
      </c>
      <c r="C66" s="484">
        <f>Jun20!O66</f>
        <v>0</v>
      </c>
      <c r="D66" s="22">
        <f>Jun20!P66</f>
        <v>0</v>
      </c>
      <c r="E66" s="9"/>
      <c r="F66" s="52"/>
      <c r="G66" s="14"/>
      <c r="H66" s="12"/>
      <c r="I66" s="9"/>
      <c r="J66" s="52"/>
      <c r="K66" s="14"/>
      <c r="L66" s="12"/>
      <c r="M66" s="14"/>
      <c r="N66" s="52"/>
      <c r="O66" s="18"/>
      <c r="P66" s="122">
        <f t="shared" si="1"/>
        <v>0</v>
      </c>
      <c r="Q66" s="55"/>
    </row>
    <row r="67" spans="1:16" s="29" customFormat="1" ht="12.75">
      <c r="A67" s="8"/>
      <c r="B67" s="508"/>
      <c r="C67" s="484">
        <f>Jun20!O67</f>
        <v>0</v>
      </c>
      <c r="D67" s="10">
        <f>Jun20!P67</f>
        <v>0</v>
      </c>
      <c r="E67" s="25"/>
      <c r="F67" s="26"/>
      <c r="G67" s="27"/>
      <c r="H67" s="28"/>
      <c r="I67" s="25"/>
      <c r="J67" s="26"/>
      <c r="K67" s="27"/>
      <c r="L67" s="28"/>
      <c r="M67" s="27"/>
      <c r="N67" s="26"/>
      <c r="O67" s="18"/>
      <c r="P67" s="122"/>
    </row>
    <row r="68" spans="1:16" s="29" customFormat="1" ht="12.75">
      <c r="A68" s="7" t="s">
        <v>32</v>
      </c>
      <c r="B68" s="508"/>
      <c r="C68" s="484">
        <f>Jun20!O68</f>
        <v>0</v>
      </c>
      <c r="D68" s="22">
        <f>Jun20!P68</f>
        <v>0</v>
      </c>
      <c r="E68" s="25"/>
      <c r="F68" s="26"/>
      <c r="G68" s="27"/>
      <c r="H68" s="28"/>
      <c r="I68" s="25"/>
      <c r="J68" s="26"/>
      <c r="K68" s="27"/>
      <c r="L68" s="28"/>
      <c r="M68" s="27"/>
      <c r="N68" s="26"/>
      <c r="O68" s="18"/>
      <c r="P68" s="122"/>
    </row>
    <row r="69" spans="1:17" s="29" customFormat="1" ht="12.75">
      <c r="A69" s="49" t="s">
        <v>18</v>
      </c>
      <c r="B69" s="506" t="s">
        <v>140</v>
      </c>
      <c r="C69" s="484">
        <f>Jun20!O69</f>
        <v>0</v>
      </c>
      <c r="D69" s="22">
        <f>Jun20!P69</f>
        <v>93682852.88</v>
      </c>
      <c r="E69" s="25"/>
      <c r="F69" s="26"/>
      <c r="G69" s="27"/>
      <c r="H69" s="28"/>
      <c r="I69" s="25"/>
      <c r="J69" s="26"/>
      <c r="K69" s="27"/>
      <c r="L69" s="28"/>
      <c r="M69" s="27"/>
      <c r="N69" s="26"/>
      <c r="O69" s="18"/>
      <c r="P69" s="122">
        <f>D69+F69+J69+N69+H69-E69-G69-I69-M69+L69-K69</f>
        <v>93682852.88</v>
      </c>
      <c r="Q69" s="289"/>
    </row>
    <row r="70" spans="1:17" s="29" customFormat="1" ht="12.75">
      <c r="A70" s="49" t="s">
        <v>142</v>
      </c>
      <c r="B70" s="508" t="s">
        <v>141</v>
      </c>
      <c r="C70" s="484">
        <f>Jun20!O70</f>
        <v>0</v>
      </c>
      <c r="D70" s="10">
        <f>Jun20!P70</f>
        <v>63721913.62</v>
      </c>
      <c r="E70" s="25"/>
      <c r="F70" s="26"/>
      <c r="G70" s="27"/>
      <c r="H70" s="28"/>
      <c r="I70" s="25"/>
      <c r="J70" s="26"/>
      <c r="K70" s="27"/>
      <c r="L70" s="28"/>
      <c r="M70" s="27"/>
      <c r="N70" s="26">
        <f>30592000+1035928+275339.65</f>
        <v>31903267.65</v>
      </c>
      <c r="O70" s="18"/>
      <c r="P70" s="122">
        <f>D70+F70+J70+N70+H70-E70-G70-I70-M70+L70-K70</f>
        <v>95625181.27</v>
      </c>
      <c r="Q70" s="289"/>
    </row>
    <row r="71" spans="1:17" s="29" customFormat="1" ht="12.75">
      <c r="A71" s="49" t="s">
        <v>673</v>
      </c>
      <c r="B71" s="249" t="s">
        <v>745</v>
      </c>
      <c r="C71" s="484">
        <f>Jun20!O71</f>
        <v>0</v>
      </c>
      <c r="D71" s="22">
        <f>Jun20!P71</f>
        <v>20458708.35</v>
      </c>
      <c r="E71" s="25"/>
      <c r="F71" s="26"/>
      <c r="G71" s="27"/>
      <c r="H71" s="28"/>
      <c r="I71" s="25"/>
      <c r="J71" s="26"/>
      <c r="K71" s="27"/>
      <c r="L71" s="28"/>
      <c r="M71" s="27"/>
      <c r="N71" s="26">
        <f>46602648.2+5379092+292564.5</f>
        <v>52274304.7</v>
      </c>
      <c r="O71" s="18"/>
      <c r="P71" s="122">
        <f>D71+F71+J71+N71+H71-E71-G71-I71-M71+L71-K71</f>
        <v>72733013.05000001</v>
      </c>
      <c r="Q71" s="530"/>
    </row>
    <row r="72" spans="1:17" s="29" customFormat="1" ht="12.75">
      <c r="A72" s="49"/>
      <c r="B72" s="508"/>
      <c r="C72" s="484">
        <f>Jun20!O72</f>
        <v>0</v>
      </c>
      <c r="D72" s="22">
        <f>Jun20!P72</f>
        <v>0</v>
      </c>
      <c r="E72" s="25"/>
      <c r="F72" s="26"/>
      <c r="G72" s="27"/>
      <c r="H72" s="28"/>
      <c r="I72" s="25"/>
      <c r="J72" s="26"/>
      <c r="K72" s="27"/>
      <c r="L72" s="28"/>
      <c r="M72" s="27"/>
      <c r="N72" s="26"/>
      <c r="O72" s="18"/>
      <c r="P72" s="122"/>
      <c r="Q72" s="289"/>
    </row>
    <row r="73" spans="1:17" s="29" customFormat="1" ht="12.75">
      <c r="A73" s="4" t="s">
        <v>19</v>
      </c>
      <c r="B73" s="509"/>
      <c r="C73" s="484">
        <f>Jun20!O73</f>
        <v>0</v>
      </c>
      <c r="D73" s="10">
        <f>Jun20!P73</f>
        <v>0</v>
      </c>
      <c r="E73" s="25"/>
      <c r="F73" s="26"/>
      <c r="G73" s="27"/>
      <c r="H73" s="28"/>
      <c r="I73" s="25"/>
      <c r="J73" s="26"/>
      <c r="K73" s="27"/>
      <c r="L73" s="28"/>
      <c r="M73" s="27"/>
      <c r="N73" s="26"/>
      <c r="O73" s="18"/>
      <c r="P73" s="122"/>
      <c r="Q73" s="289"/>
    </row>
    <row r="74" spans="1:17" s="29" customFormat="1" ht="12.75">
      <c r="A74" s="23" t="s">
        <v>143</v>
      </c>
      <c r="B74" s="250" t="s">
        <v>144</v>
      </c>
      <c r="C74" s="484">
        <f>Jun20!O74</f>
        <v>7681315.8100000005</v>
      </c>
      <c r="D74" s="22">
        <f>Jun20!P74</f>
        <v>0</v>
      </c>
      <c r="E74" s="25">
        <v>1109521.03</v>
      </c>
      <c r="F74" s="26"/>
      <c r="G74" s="27"/>
      <c r="H74" s="28"/>
      <c r="I74" s="25"/>
      <c r="J74" s="26"/>
      <c r="K74" s="27"/>
      <c r="L74" s="28"/>
      <c r="M74" s="27"/>
      <c r="N74" s="26"/>
      <c r="O74" s="18">
        <f aca="true" t="shared" si="2" ref="O74:O91">C74+E74+I74+M74-D74-F74-J74-N74+G74-H74+K74-L74</f>
        <v>8790836.84</v>
      </c>
      <c r="P74" s="122"/>
      <c r="Q74" s="289"/>
    </row>
    <row r="75" spans="1:17" s="29" customFormat="1" ht="12.75">
      <c r="A75" s="23" t="s">
        <v>20</v>
      </c>
      <c r="B75" s="250" t="s">
        <v>145</v>
      </c>
      <c r="C75" s="484">
        <f>Jun20!O75</f>
        <v>258000</v>
      </c>
      <c r="D75" s="22">
        <f>Jun20!P75</f>
        <v>0</v>
      </c>
      <c r="E75" s="25">
        <v>41000</v>
      </c>
      <c r="F75" s="26"/>
      <c r="G75" s="27"/>
      <c r="H75" s="28"/>
      <c r="I75" s="25"/>
      <c r="J75" s="26"/>
      <c r="K75" s="27"/>
      <c r="L75" s="28"/>
      <c r="M75" s="27"/>
      <c r="N75" s="26"/>
      <c r="O75" s="18">
        <f t="shared" si="2"/>
        <v>299000</v>
      </c>
      <c r="P75" s="122"/>
      <c r="Q75" s="289"/>
    </row>
    <row r="76" spans="1:17" s="29" customFormat="1" ht="12.75">
      <c r="A76" s="23" t="s">
        <v>21</v>
      </c>
      <c r="B76" s="250" t="s">
        <v>146</v>
      </c>
      <c r="C76" s="484">
        <f>Jun20!O76</f>
        <v>114000</v>
      </c>
      <c r="D76" s="10">
        <f>Jun20!P76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18">
        <f t="shared" si="2"/>
        <v>133000</v>
      </c>
      <c r="P76" s="62"/>
      <c r="Q76" s="289"/>
    </row>
    <row r="77" spans="1:17" s="29" customFormat="1" ht="13.5" customHeight="1">
      <c r="A77" s="23" t="s">
        <v>22</v>
      </c>
      <c r="B77" s="250" t="s">
        <v>147</v>
      </c>
      <c r="C77" s="484">
        <f>Jun20!O77</f>
        <v>114000</v>
      </c>
      <c r="D77" s="22">
        <f>Jun20!P77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18">
        <f t="shared" si="2"/>
        <v>133000</v>
      </c>
      <c r="P77" s="62"/>
      <c r="Q77" s="289"/>
    </row>
    <row r="78" spans="1:17" s="29" customFormat="1" ht="12.75" customHeight="1">
      <c r="A78" s="23" t="s">
        <v>67</v>
      </c>
      <c r="B78" s="250" t="s">
        <v>527</v>
      </c>
      <c r="C78" s="484">
        <f>Jun20!O78</f>
        <v>408000</v>
      </c>
      <c r="D78" s="22">
        <f>Jun20!P78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18">
        <f t="shared" si="2"/>
        <v>408000</v>
      </c>
      <c r="P78" s="62"/>
      <c r="Q78" s="289"/>
    </row>
    <row r="79" spans="1:17" s="29" customFormat="1" ht="12.75" hidden="1">
      <c r="A79" s="23" t="s">
        <v>149</v>
      </c>
      <c r="B79" s="250" t="s">
        <v>148</v>
      </c>
      <c r="C79" s="484">
        <f>Jun20!O79</f>
        <v>0</v>
      </c>
      <c r="D79" s="10">
        <f>Jun20!P79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18">
        <f t="shared" si="2"/>
        <v>0</v>
      </c>
      <c r="P79" s="62"/>
      <c r="Q79" s="289"/>
    </row>
    <row r="80" spans="1:17" s="29" customFormat="1" ht="12.75" hidden="1">
      <c r="A80" s="23" t="s">
        <v>66</v>
      </c>
      <c r="B80" s="250" t="s">
        <v>150</v>
      </c>
      <c r="C80" s="484">
        <f>Jun20!O80</f>
        <v>0</v>
      </c>
      <c r="D80" s="22">
        <f>Jun20!P80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18">
        <f t="shared" si="2"/>
        <v>0</v>
      </c>
      <c r="P80" s="62"/>
      <c r="Q80" s="289"/>
    </row>
    <row r="81" spans="1:17" s="29" customFormat="1" ht="12.75" hidden="1">
      <c r="A81" s="23" t="s">
        <v>221</v>
      </c>
      <c r="B81" s="250" t="s">
        <v>537</v>
      </c>
      <c r="C81" s="484">
        <f>Jun20!O81</f>
        <v>0</v>
      </c>
      <c r="D81" s="22">
        <f>Jun20!P81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18">
        <f t="shared" si="2"/>
        <v>0</v>
      </c>
      <c r="P81" s="62"/>
      <c r="Q81" s="289"/>
    </row>
    <row r="82" spans="1:17" s="29" customFormat="1" ht="12.75">
      <c r="A82" s="23" t="s">
        <v>76</v>
      </c>
      <c r="B82" s="250" t="s">
        <v>153</v>
      </c>
      <c r="C82" s="484">
        <f>Jun20!O82</f>
        <v>0</v>
      </c>
      <c r="D82" s="10">
        <f>Jun20!P82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18">
        <f t="shared" si="2"/>
        <v>0</v>
      </c>
      <c r="P82" s="62"/>
      <c r="Q82" s="289"/>
    </row>
    <row r="83" spans="1:17" s="29" customFormat="1" ht="12.75" hidden="1">
      <c r="A83" s="23" t="s">
        <v>242</v>
      </c>
      <c r="B83" s="250" t="s">
        <v>234</v>
      </c>
      <c r="C83" s="484">
        <f>Jun20!O83</f>
        <v>0</v>
      </c>
      <c r="D83" s="22">
        <f>Jun20!P83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18">
        <f t="shared" si="2"/>
        <v>0</v>
      </c>
      <c r="P83" s="62"/>
      <c r="Q83" s="289"/>
    </row>
    <row r="84" spans="1:17" s="29" customFormat="1" ht="12.75" hidden="1">
      <c r="A84" s="23" t="s">
        <v>75</v>
      </c>
      <c r="B84" s="250" t="s">
        <v>152</v>
      </c>
      <c r="C84" s="484">
        <f>Jun20!O84</f>
        <v>0</v>
      </c>
      <c r="D84" s="22">
        <f>Jun20!P84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18">
        <f t="shared" si="2"/>
        <v>0</v>
      </c>
      <c r="P84" s="62"/>
      <c r="Q84" s="289"/>
    </row>
    <row r="85" spans="1:17" s="29" customFormat="1" ht="12.75" hidden="1">
      <c r="A85" s="23" t="s">
        <v>70</v>
      </c>
      <c r="B85" s="250" t="s">
        <v>151</v>
      </c>
      <c r="C85" s="484">
        <f>Jun20!O85</f>
        <v>0</v>
      </c>
      <c r="D85" s="10">
        <f>Jun20!P85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18">
        <f t="shared" si="2"/>
        <v>0</v>
      </c>
      <c r="P85" s="62"/>
      <c r="Q85" s="289"/>
    </row>
    <row r="86" spans="1:17" s="29" customFormat="1" ht="12.75" customHeight="1">
      <c r="A86" s="23" t="s">
        <v>562</v>
      </c>
      <c r="B86" s="250" t="s">
        <v>563</v>
      </c>
      <c r="C86" s="484">
        <f>Jun20!O86</f>
        <v>193000</v>
      </c>
      <c r="D86" s="22">
        <f>Jun20!P86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18">
        <f t="shared" si="2"/>
        <v>193000</v>
      </c>
      <c r="P86" s="62"/>
      <c r="Q86" s="289"/>
    </row>
    <row r="87" spans="1:17" s="29" customFormat="1" ht="12.75" hidden="1">
      <c r="A87" s="23" t="s">
        <v>564</v>
      </c>
      <c r="B87" s="250" t="s">
        <v>565</v>
      </c>
      <c r="C87" s="484">
        <f>Jun20!O87</f>
        <v>0</v>
      </c>
      <c r="D87" s="22">
        <f>Jun20!P87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18">
        <f t="shared" si="2"/>
        <v>0</v>
      </c>
      <c r="P87" s="62"/>
      <c r="Q87" s="289"/>
    </row>
    <row r="88" spans="1:17" s="29" customFormat="1" ht="12.75" hidden="1">
      <c r="A88" s="23" t="s">
        <v>553</v>
      </c>
      <c r="B88" s="250" t="s">
        <v>554</v>
      </c>
      <c r="C88" s="484">
        <f>Jun20!O88</f>
        <v>0</v>
      </c>
      <c r="D88" s="10">
        <f>Jun20!P88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18">
        <f t="shared" si="2"/>
        <v>0</v>
      </c>
      <c r="P88" s="62"/>
      <c r="Q88" s="289"/>
    </row>
    <row r="89" spans="1:17" s="29" customFormat="1" ht="13.5" customHeight="1">
      <c r="A89" s="23" t="s">
        <v>33</v>
      </c>
      <c r="B89" s="250" t="s">
        <v>154</v>
      </c>
      <c r="C89" s="484">
        <f>Jun20!O89</f>
        <v>274097.64</v>
      </c>
      <c r="D89" s="22">
        <f>Jun20!P89</f>
        <v>0</v>
      </c>
      <c r="E89" s="25"/>
      <c r="F89" s="26"/>
      <c r="G89" s="27"/>
      <c r="H89" s="28"/>
      <c r="I89" s="25"/>
      <c r="J89" s="26"/>
      <c r="K89" s="27"/>
      <c r="L89" s="28"/>
      <c r="M89" s="27"/>
      <c r="N89" s="26"/>
      <c r="O89" s="18">
        <f t="shared" si="2"/>
        <v>274097.64</v>
      </c>
      <c r="P89" s="62"/>
      <c r="Q89" s="289"/>
    </row>
    <row r="90" spans="1:17" s="29" customFormat="1" ht="12.75">
      <c r="A90" s="23" t="s">
        <v>34</v>
      </c>
      <c r="B90" s="250" t="s">
        <v>155</v>
      </c>
      <c r="C90" s="484">
        <f>Jun20!O90</f>
        <v>18808.079999999998</v>
      </c>
      <c r="D90" s="22">
        <f>Jun20!P90</f>
        <v>0</v>
      </c>
      <c r="E90" s="25"/>
      <c r="F90" s="26"/>
      <c r="G90" s="27"/>
      <c r="H90" s="28"/>
      <c r="I90" s="25"/>
      <c r="J90" s="26"/>
      <c r="K90" s="27"/>
      <c r="L90" s="28"/>
      <c r="M90" s="27"/>
      <c r="N90" s="26"/>
      <c r="O90" s="18">
        <f t="shared" si="2"/>
        <v>18808.079999999998</v>
      </c>
      <c r="P90" s="62"/>
      <c r="Q90" s="289"/>
    </row>
    <row r="91" spans="1:17" s="29" customFormat="1" ht="12.75">
      <c r="A91" s="23" t="s">
        <v>35</v>
      </c>
      <c r="B91" s="250" t="s">
        <v>156</v>
      </c>
      <c r="C91" s="484">
        <f>Jun20!O91</f>
        <v>91994.23</v>
      </c>
      <c r="D91" s="10">
        <f>Jun20!P91</f>
        <v>0</v>
      </c>
      <c r="E91" s="25"/>
      <c r="F91" s="26"/>
      <c r="G91" s="27"/>
      <c r="H91" s="28"/>
      <c r="I91" s="25"/>
      <c r="J91" s="26"/>
      <c r="K91" s="27"/>
      <c r="L91" s="28"/>
      <c r="M91" s="27"/>
      <c r="N91" s="26"/>
      <c r="O91" s="18">
        <f t="shared" si="2"/>
        <v>91994.23</v>
      </c>
      <c r="P91" s="62"/>
      <c r="Q91" s="289"/>
    </row>
    <row r="92" spans="1:17" s="29" customFormat="1" ht="12.75">
      <c r="A92" s="23" t="s">
        <v>36</v>
      </c>
      <c r="B92" s="250" t="s">
        <v>157</v>
      </c>
      <c r="C92" s="484">
        <f>Jun20!O92</f>
        <v>12000</v>
      </c>
      <c r="D92" s="22">
        <f>Jun20!P92</f>
        <v>0</v>
      </c>
      <c r="E92" s="25"/>
      <c r="F92" s="26"/>
      <c r="G92" s="27"/>
      <c r="H92" s="28"/>
      <c r="I92" s="25"/>
      <c r="J92" s="26"/>
      <c r="K92" s="27"/>
      <c r="L92" s="28"/>
      <c r="M92" s="27"/>
      <c r="N92" s="26"/>
      <c r="O92" s="18">
        <f aca="true" t="shared" si="3" ref="O92:O155">C92+E92+I92+M92-D92-F92-J92-N92+G92-H92+K92-L92</f>
        <v>12000</v>
      </c>
      <c r="P92" s="62"/>
      <c r="Q92" s="289"/>
    </row>
    <row r="93" spans="1:17" s="29" customFormat="1" ht="12.75">
      <c r="A93" s="23" t="s">
        <v>698</v>
      </c>
      <c r="B93" s="250" t="s">
        <v>699</v>
      </c>
      <c r="C93" s="484">
        <f>Jun20!O93</f>
        <v>0</v>
      </c>
      <c r="D93" s="22">
        <f>Jun20!P93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18">
        <f t="shared" si="3"/>
        <v>0</v>
      </c>
      <c r="P93" s="62"/>
      <c r="Q93" s="289"/>
    </row>
    <row r="94" spans="1:17" s="29" customFormat="1" ht="12.75">
      <c r="A94" s="23" t="s">
        <v>208</v>
      </c>
      <c r="B94" s="250" t="s">
        <v>207</v>
      </c>
      <c r="C94" s="484">
        <f>Jun20!O94</f>
        <v>1435033.81</v>
      </c>
      <c r="D94" s="10">
        <f>Jun20!P94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6"/>
      <c r="O94" s="18">
        <f t="shared" si="3"/>
        <v>1435033.81</v>
      </c>
      <c r="P94" s="62"/>
      <c r="Q94" s="289"/>
    </row>
    <row r="95" spans="1:17" s="29" customFormat="1" ht="12.75">
      <c r="A95" s="23" t="s">
        <v>719</v>
      </c>
      <c r="B95" s="250" t="s">
        <v>720</v>
      </c>
      <c r="C95" s="484">
        <f>Jun20!O95</f>
        <v>755292</v>
      </c>
      <c r="D95" s="22">
        <f>Jun20!P95</f>
        <v>0</v>
      </c>
      <c r="E95" s="25">
        <v>292564.5</v>
      </c>
      <c r="F95" s="26"/>
      <c r="G95" s="27"/>
      <c r="H95" s="28"/>
      <c r="I95" s="25"/>
      <c r="J95" s="26"/>
      <c r="K95" s="27"/>
      <c r="L95" s="28"/>
      <c r="M95" s="27"/>
      <c r="N95" s="26"/>
      <c r="O95" s="18">
        <f t="shared" si="3"/>
        <v>1047856.5</v>
      </c>
      <c r="P95" s="62"/>
      <c r="Q95" s="289"/>
    </row>
    <row r="96" spans="1:17" s="29" customFormat="1" ht="12.75">
      <c r="A96" s="23" t="s">
        <v>28</v>
      </c>
      <c r="B96" s="250" t="s">
        <v>158</v>
      </c>
      <c r="C96" s="484">
        <f>Jun20!O96</f>
        <v>544193.6</v>
      </c>
      <c r="D96" s="22">
        <f>Jun20!P96</f>
        <v>0</v>
      </c>
      <c r="E96" s="25">
        <v>15627</v>
      </c>
      <c r="F96" s="26"/>
      <c r="G96" s="27"/>
      <c r="H96" s="28"/>
      <c r="I96" s="25"/>
      <c r="J96" s="26"/>
      <c r="K96" s="27"/>
      <c r="L96" s="28"/>
      <c r="M96" s="27"/>
      <c r="N96" s="26"/>
      <c r="O96" s="18">
        <f t="shared" si="3"/>
        <v>559820.6</v>
      </c>
      <c r="P96" s="62"/>
      <c r="Q96" s="289"/>
    </row>
    <row r="97" spans="1:17" s="29" customFormat="1" ht="12.75">
      <c r="A97" s="23" t="s">
        <v>243</v>
      </c>
      <c r="B97" s="250" t="s">
        <v>236</v>
      </c>
      <c r="C97" s="484">
        <f>Jun20!O97</f>
        <v>0</v>
      </c>
      <c r="D97" s="10">
        <f>Jun20!P97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18">
        <f t="shared" si="3"/>
        <v>0</v>
      </c>
      <c r="P97" s="62"/>
      <c r="Q97" s="289"/>
    </row>
    <row r="98" spans="1:17" s="29" customFormat="1" ht="12.75">
      <c r="A98" s="23" t="s">
        <v>27</v>
      </c>
      <c r="B98" s="250" t="s">
        <v>159</v>
      </c>
      <c r="C98" s="484">
        <f>Jun20!O98</f>
        <v>3110341.25</v>
      </c>
      <c r="D98" s="22">
        <f>Jun20!P98</f>
        <v>0</v>
      </c>
      <c r="E98" s="25">
        <v>128275</v>
      </c>
      <c r="F98" s="26"/>
      <c r="G98" s="27"/>
      <c r="H98" s="28"/>
      <c r="I98" s="25"/>
      <c r="J98" s="26"/>
      <c r="K98" s="27"/>
      <c r="L98" s="28"/>
      <c r="M98" s="27"/>
      <c r="N98" s="26"/>
      <c r="O98" s="18">
        <f t="shared" si="3"/>
        <v>3238616.25</v>
      </c>
      <c r="P98" s="62"/>
      <c r="Q98" s="289"/>
    </row>
    <row r="99" spans="1:17" s="29" customFormat="1" ht="12.75">
      <c r="A99" s="23" t="s">
        <v>160</v>
      </c>
      <c r="B99" s="250" t="s">
        <v>161</v>
      </c>
      <c r="C99" s="484">
        <f>Jun20!O99</f>
        <v>0</v>
      </c>
      <c r="D99" s="22">
        <f>Jun20!P99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18">
        <f t="shared" si="3"/>
        <v>0</v>
      </c>
      <c r="P99" s="62"/>
      <c r="Q99" s="289"/>
    </row>
    <row r="100" spans="1:17" s="29" customFormat="1" ht="12.75">
      <c r="A100" s="23" t="s">
        <v>61</v>
      </c>
      <c r="B100" s="250" t="s">
        <v>162</v>
      </c>
      <c r="C100" s="484">
        <f>Jun20!O100</f>
        <v>6701.75</v>
      </c>
      <c r="D100" s="10">
        <f>Jun20!P100</f>
        <v>0</v>
      </c>
      <c r="E100" s="25">
        <v>1365.5</v>
      </c>
      <c r="F100" s="26"/>
      <c r="G100" s="27"/>
      <c r="H100" s="28"/>
      <c r="I100" s="25"/>
      <c r="J100" s="26"/>
      <c r="K100" s="27"/>
      <c r="L100" s="28"/>
      <c r="M100" s="27"/>
      <c r="N100" s="26"/>
      <c r="O100" s="18">
        <f t="shared" si="3"/>
        <v>8067.25</v>
      </c>
      <c r="P100" s="62"/>
      <c r="Q100" s="289"/>
    </row>
    <row r="101" spans="1:17" s="29" customFormat="1" ht="12.75">
      <c r="A101" s="23" t="s">
        <v>56</v>
      </c>
      <c r="B101" s="250" t="s">
        <v>163</v>
      </c>
      <c r="C101" s="484">
        <f>Jun20!O101</f>
        <v>0</v>
      </c>
      <c r="D101" s="22">
        <f>Jun20!P101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18">
        <f t="shared" si="3"/>
        <v>0</v>
      </c>
      <c r="P101" s="62"/>
      <c r="Q101" s="289"/>
    </row>
    <row r="102" spans="1:17" s="29" customFormat="1" ht="12.75">
      <c r="A102" s="23" t="s">
        <v>217</v>
      </c>
      <c r="B102" s="250" t="s">
        <v>218</v>
      </c>
      <c r="C102" s="484">
        <f>Jun20!O102</f>
        <v>0</v>
      </c>
      <c r="D102" s="22">
        <f>Jun20!P102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18">
        <f t="shared" si="3"/>
        <v>0</v>
      </c>
      <c r="P102" s="62"/>
      <c r="Q102" s="289"/>
    </row>
    <row r="103" spans="1:17" s="29" customFormat="1" ht="12.75">
      <c r="A103" s="23" t="s">
        <v>164</v>
      </c>
      <c r="B103" s="250" t="s">
        <v>165</v>
      </c>
      <c r="C103" s="484">
        <f>Jun20!O103</f>
        <v>31323.26</v>
      </c>
      <c r="D103" s="10">
        <f>Jun20!P103</f>
        <v>0</v>
      </c>
      <c r="E103" s="25">
        <v>32555.32</v>
      </c>
      <c r="F103" s="26"/>
      <c r="G103" s="27"/>
      <c r="H103" s="28"/>
      <c r="I103" s="25"/>
      <c r="J103" s="26"/>
      <c r="K103" s="27"/>
      <c r="L103" s="28"/>
      <c r="M103" s="27"/>
      <c r="N103" s="26"/>
      <c r="O103" s="18">
        <f t="shared" si="3"/>
        <v>63878.58</v>
      </c>
      <c r="P103" s="62"/>
      <c r="Q103" s="289"/>
    </row>
    <row r="104" spans="1:17" s="29" customFormat="1" ht="12.75">
      <c r="A104" s="23" t="s">
        <v>570</v>
      </c>
      <c r="B104" s="250" t="s">
        <v>556</v>
      </c>
      <c r="C104" s="484">
        <f>Jun20!O104</f>
        <v>0</v>
      </c>
      <c r="D104" s="22">
        <f>Jun20!P104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18">
        <f t="shared" si="3"/>
        <v>0</v>
      </c>
      <c r="P104" s="62"/>
      <c r="Q104" s="289"/>
    </row>
    <row r="105" spans="1:17" s="29" customFormat="1" ht="12.75">
      <c r="A105" s="23" t="s">
        <v>535</v>
      </c>
      <c r="B105" s="250" t="s">
        <v>521</v>
      </c>
      <c r="C105" s="484">
        <f>Jun20!O105</f>
        <v>0</v>
      </c>
      <c r="D105" s="22">
        <f>Jun20!P105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18">
        <f t="shared" si="3"/>
        <v>0</v>
      </c>
      <c r="P105" s="62"/>
      <c r="Q105" s="289"/>
    </row>
    <row r="106" spans="1:17" s="29" customFormat="1" ht="12.75">
      <c r="A106" s="23" t="s">
        <v>536</v>
      </c>
      <c r="B106" s="250" t="s">
        <v>522</v>
      </c>
      <c r="C106" s="484">
        <f>Jun20!O106</f>
        <v>0</v>
      </c>
      <c r="D106" s="10">
        <f>Jun20!P106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18">
        <f t="shared" si="3"/>
        <v>0</v>
      </c>
      <c r="P106" s="62"/>
      <c r="Q106" s="289"/>
    </row>
    <row r="107" spans="1:17" s="29" customFormat="1" ht="12.75" hidden="1">
      <c r="A107" s="23" t="s">
        <v>571</v>
      </c>
      <c r="B107" s="250" t="s">
        <v>572</v>
      </c>
      <c r="C107" s="484">
        <f>Jun20!O107</f>
        <v>0</v>
      </c>
      <c r="D107" s="22">
        <f>Jun20!P107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18">
        <f t="shared" si="3"/>
        <v>0</v>
      </c>
      <c r="P107" s="62"/>
      <c r="Q107" s="289"/>
    </row>
    <row r="108" spans="1:17" s="29" customFormat="1" ht="12.75" hidden="1">
      <c r="A108" s="23" t="s">
        <v>573</v>
      </c>
      <c r="B108" s="250" t="s">
        <v>557</v>
      </c>
      <c r="C108" s="484">
        <f>Jun20!O108</f>
        <v>0</v>
      </c>
      <c r="D108" s="22">
        <f>Jun20!P108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18">
        <f t="shared" si="3"/>
        <v>0</v>
      </c>
      <c r="P108" s="62"/>
      <c r="Q108" s="289"/>
    </row>
    <row r="109" spans="1:17" s="29" customFormat="1" ht="12.75" hidden="1">
      <c r="A109" s="23" t="s">
        <v>241</v>
      </c>
      <c r="B109" s="250" t="s">
        <v>235</v>
      </c>
      <c r="C109" s="484">
        <f>Jun20!O109</f>
        <v>0</v>
      </c>
      <c r="D109" s="10">
        <f>Jun20!P109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18">
        <f t="shared" si="3"/>
        <v>0</v>
      </c>
      <c r="P109" s="62"/>
      <c r="Q109" s="289"/>
    </row>
    <row r="110" spans="1:17" s="29" customFormat="1" ht="12.75">
      <c r="A110" s="23" t="s">
        <v>166</v>
      </c>
      <c r="B110" s="250" t="s">
        <v>167</v>
      </c>
      <c r="C110" s="484">
        <f>Jun20!O110</f>
        <v>1779.25</v>
      </c>
      <c r="D110" s="22">
        <f>Jun20!P110</f>
        <v>0</v>
      </c>
      <c r="E110" s="25">
        <v>549</v>
      </c>
      <c r="F110" s="26"/>
      <c r="G110" s="27"/>
      <c r="H110" s="28"/>
      <c r="I110" s="25"/>
      <c r="J110" s="26"/>
      <c r="K110" s="27"/>
      <c r="L110" s="28"/>
      <c r="M110" s="27"/>
      <c r="N110" s="26"/>
      <c r="O110" s="18">
        <f t="shared" si="3"/>
        <v>2328.25</v>
      </c>
      <c r="P110" s="62"/>
      <c r="Q110" s="289"/>
    </row>
    <row r="111" spans="1:17" s="29" customFormat="1" ht="12.75">
      <c r="A111" s="23" t="s">
        <v>37</v>
      </c>
      <c r="B111" s="250" t="s">
        <v>168</v>
      </c>
      <c r="C111" s="484">
        <f>Jun20!O111</f>
        <v>5901.799999999999</v>
      </c>
      <c r="D111" s="22">
        <f>Jun20!P111</f>
        <v>0</v>
      </c>
      <c r="E111" s="25">
        <v>13263.7</v>
      </c>
      <c r="F111" s="26"/>
      <c r="G111" s="27"/>
      <c r="H111" s="28"/>
      <c r="I111" s="25"/>
      <c r="J111" s="26"/>
      <c r="K111" s="27"/>
      <c r="L111" s="28"/>
      <c r="M111" s="27"/>
      <c r="N111" s="26"/>
      <c r="O111" s="18">
        <f t="shared" si="3"/>
        <v>19165.5</v>
      </c>
      <c r="P111" s="62"/>
      <c r="Q111" s="289"/>
    </row>
    <row r="112" spans="1:17" s="29" customFormat="1" ht="12.75">
      <c r="A112" s="23" t="s">
        <v>43</v>
      </c>
      <c r="B112" s="250" t="s">
        <v>169</v>
      </c>
      <c r="C112" s="484">
        <f>Jun20!O112</f>
        <v>82117.59</v>
      </c>
      <c r="D112" s="10">
        <f>Jun20!P112</f>
        <v>0</v>
      </c>
      <c r="E112" s="25">
        <v>23036.22</v>
      </c>
      <c r="F112" s="26"/>
      <c r="G112" s="27"/>
      <c r="H112" s="28"/>
      <c r="I112" s="25"/>
      <c r="J112" s="26"/>
      <c r="K112" s="27"/>
      <c r="L112" s="28"/>
      <c r="M112" s="27"/>
      <c r="N112" s="26"/>
      <c r="O112" s="18">
        <f t="shared" si="3"/>
        <v>105153.81</v>
      </c>
      <c r="P112" s="62"/>
      <c r="Q112" s="289"/>
    </row>
    <row r="113" spans="1:17" s="29" customFormat="1" ht="12.75">
      <c r="A113" s="23" t="s">
        <v>694</v>
      </c>
      <c r="B113" s="250" t="s">
        <v>695</v>
      </c>
      <c r="C113" s="484">
        <f>Jun20!O113</f>
        <v>0</v>
      </c>
      <c r="D113" s="22">
        <f>Jun20!P113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18">
        <f t="shared" si="3"/>
        <v>0</v>
      </c>
      <c r="P113" s="62"/>
      <c r="Q113" s="289"/>
    </row>
    <row r="114" spans="1:17" s="29" customFormat="1" ht="12.75">
      <c r="A114" s="23" t="s">
        <v>29</v>
      </c>
      <c r="B114" s="250" t="s">
        <v>170</v>
      </c>
      <c r="C114" s="484">
        <f>Jun20!O114</f>
        <v>23612.3</v>
      </c>
      <c r="D114" s="22">
        <f>Jun20!P114</f>
        <v>0</v>
      </c>
      <c r="E114" s="25">
        <v>5389.5</v>
      </c>
      <c r="F114" s="26"/>
      <c r="G114" s="27"/>
      <c r="H114" s="28"/>
      <c r="I114" s="25"/>
      <c r="J114" s="26"/>
      <c r="K114" s="27"/>
      <c r="L114" s="28"/>
      <c r="M114" s="27"/>
      <c r="N114" s="26"/>
      <c r="O114" s="18">
        <f t="shared" si="3"/>
        <v>29001.8</v>
      </c>
      <c r="P114" s="62"/>
      <c r="Q114" s="289"/>
    </row>
    <row r="115" spans="1:17" s="29" customFormat="1" ht="12.75">
      <c r="A115" s="23" t="s">
        <v>194</v>
      </c>
      <c r="B115" s="250" t="s">
        <v>196</v>
      </c>
      <c r="C115" s="484">
        <f>Jun20!O115</f>
        <v>46453.850000000006</v>
      </c>
      <c r="D115" s="10">
        <f>Jun20!P115</f>
        <v>0</v>
      </c>
      <c r="E115" s="25">
        <v>8000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18">
        <f t="shared" si="3"/>
        <v>54453.850000000006</v>
      </c>
      <c r="P115" s="62"/>
      <c r="Q115" s="289"/>
    </row>
    <row r="116" spans="1:17" s="29" customFormat="1" ht="12.75">
      <c r="A116" s="23" t="s">
        <v>195</v>
      </c>
      <c r="B116" s="250" t="s">
        <v>197</v>
      </c>
      <c r="C116" s="484">
        <f>Jun20!O116</f>
        <v>15451.15</v>
      </c>
      <c r="D116" s="22">
        <f>Jun20!P116</f>
        <v>0</v>
      </c>
      <c r="E116" s="25"/>
      <c r="F116" s="26"/>
      <c r="G116" s="27"/>
      <c r="H116" s="28"/>
      <c r="I116" s="25"/>
      <c r="J116" s="26"/>
      <c r="K116" s="27"/>
      <c r="L116" s="28"/>
      <c r="M116" s="27"/>
      <c r="N116" s="26"/>
      <c r="O116" s="18">
        <f t="shared" si="3"/>
        <v>15451.15</v>
      </c>
      <c r="P116" s="62"/>
      <c r="Q116" s="289"/>
    </row>
    <row r="117" spans="1:17" s="29" customFormat="1" ht="12.75">
      <c r="A117" s="23" t="s">
        <v>171</v>
      </c>
      <c r="B117" s="250" t="s">
        <v>172</v>
      </c>
      <c r="C117" s="484">
        <f>Jun20!O117</f>
        <v>43409.19</v>
      </c>
      <c r="D117" s="22">
        <f>Jun20!P117</f>
        <v>0</v>
      </c>
      <c r="E117" s="25">
        <v>7939.02</v>
      </c>
      <c r="F117" s="26"/>
      <c r="G117" s="27"/>
      <c r="H117" s="28"/>
      <c r="I117" s="25"/>
      <c r="J117" s="26"/>
      <c r="K117" s="27"/>
      <c r="L117" s="28"/>
      <c r="M117" s="27"/>
      <c r="N117" s="26"/>
      <c r="O117" s="18">
        <f t="shared" si="3"/>
        <v>51348.21000000001</v>
      </c>
      <c r="P117" s="62"/>
      <c r="Q117" s="289"/>
    </row>
    <row r="118" spans="1:17" s="29" customFormat="1" ht="12.75">
      <c r="A118" s="23" t="s">
        <v>51</v>
      </c>
      <c r="B118" s="250" t="s">
        <v>173</v>
      </c>
      <c r="C118" s="484">
        <f>Jun20!O118</f>
        <v>300</v>
      </c>
      <c r="D118" s="10">
        <f>Jun20!P118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18">
        <f t="shared" si="3"/>
        <v>300</v>
      </c>
      <c r="P118" s="62"/>
      <c r="Q118" s="289"/>
    </row>
    <row r="119" spans="1:17" s="29" customFormat="1" ht="12.75">
      <c r="A119" s="23" t="s">
        <v>539</v>
      </c>
      <c r="B119" s="250" t="s">
        <v>538</v>
      </c>
      <c r="C119" s="484">
        <f>Jun20!O119</f>
        <v>0</v>
      </c>
      <c r="D119" s="22">
        <f>Jun20!P119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18">
        <f t="shared" si="3"/>
        <v>0</v>
      </c>
      <c r="P119" s="62"/>
      <c r="Q119" s="289"/>
    </row>
    <row r="120" spans="1:17" s="29" customFormat="1" ht="12.75">
      <c r="A120" s="23" t="s">
        <v>193</v>
      </c>
      <c r="B120" s="250" t="s">
        <v>190</v>
      </c>
      <c r="C120" s="484">
        <f>Jun20!O120</f>
        <v>55000.02</v>
      </c>
      <c r="D120" s="22">
        <f>Jun20!P120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18">
        <f t="shared" si="3"/>
        <v>64166.689999999995</v>
      </c>
      <c r="P120" s="62"/>
      <c r="Q120" s="289"/>
    </row>
    <row r="121" spans="1:17" s="29" customFormat="1" ht="12.75">
      <c r="A121" s="23" t="s">
        <v>71</v>
      </c>
      <c r="B121" s="250" t="s">
        <v>178</v>
      </c>
      <c r="C121" s="484">
        <f>Jun20!O121</f>
        <v>400</v>
      </c>
      <c r="D121" s="10">
        <f>Jun20!P121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18">
        <f t="shared" si="3"/>
        <v>400</v>
      </c>
      <c r="P121" s="62"/>
      <c r="Q121" s="289"/>
    </row>
    <row r="122" spans="1:17" s="29" customFormat="1" ht="12.75">
      <c r="A122" s="23" t="s">
        <v>30</v>
      </c>
      <c r="B122" s="250" t="s">
        <v>179</v>
      </c>
      <c r="C122" s="484">
        <f>Jun20!O122</f>
        <v>0</v>
      </c>
      <c r="D122" s="22">
        <f>Jun20!P122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18">
        <f t="shared" si="3"/>
        <v>0</v>
      </c>
      <c r="P122" s="62"/>
      <c r="Q122" s="289"/>
    </row>
    <row r="123" spans="1:17" s="29" customFormat="1" ht="12.75">
      <c r="A123" s="23" t="s">
        <v>198</v>
      </c>
      <c r="B123" s="250" t="s">
        <v>199</v>
      </c>
      <c r="C123" s="484">
        <f>Jun20!O123</f>
        <v>0</v>
      </c>
      <c r="D123" s="22">
        <f>Jun20!P123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18">
        <f t="shared" si="3"/>
        <v>0</v>
      </c>
      <c r="P123" s="62"/>
      <c r="Q123" s="289"/>
    </row>
    <row r="124" spans="1:17" s="29" customFormat="1" ht="12.75">
      <c r="A124" s="23" t="s">
        <v>72</v>
      </c>
      <c r="B124" s="250" t="s">
        <v>182</v>
      </c>
      <c r="C124" s="484">
        <f>Jun20!O124</f>
        <v>351036.95999999996</v>
      </c>
      <c r="D124" s="10">
        <f>Jun20!P124</f>
        <v>0</v>
      </c>
      <c r="E124" s="25">
        <v>43745.09</v>
      </c>
      <c r="F124" s="26"/>
      <c r="G124" s="27"/>
      <c r="H124" s="28"/>
      <c r="I124" s="25"/>
      <c r="J124" s="26"/>
      <c r="K124" s="27"/>
      <c r="L124" s="28"/>
      <c r="M124" s="27">
        <v>14099.31</v>
      </c>
      <c r="N124" s="26"/>
      <c r="O124" s="18">
        <f t="shared" si="3"/>
        <v>408881.3599999999</v>
      </c>
      <c r="P124" s="62"/>
      <c r="Q124" s="289"/>
    </row>
    <row r="125" spans="1:17" s="29" customFormat="1" ht="12.75" hidden="1">
      <c r="A125" s="23" t="s">
        <v>65</v>
      </c>
      <c r="B125" s="250" t="s">
        <v>183</v>
      </c>
      <c r="C125" s="484">
        <f>Jun20!O125</f>
        <v>0</v>
      </c>
      <c r="D125" s="22">
        <f>Jun20!P125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18">
        <f t="shared" si="3"/>
        <v>0</v>
      </c>
      <c r="P125" s="62"/>
      <c r="Q125" s="289"/>
    </row>
    <row r="126" spans="1:17" s="29" customFormat="1" ht="12.75" hidden="1">
      <c r="A126" s="23" t="s">
        <v>180</v>
      </c>
      <c r="B126" s="250" t="s">
        <v>181</v>
      </c>
      <c r="C126" s="484">
        <f>Jun20!O126</f>
        <v>0</v>
      </c>
      <c r="D126" s="22">
        <f>Jun20!P126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18">
        <f t="shared" si="3"/>
        <v>0</v>
      </c>
      <c r="P126" s="62"/>
      <c r="Q126" s="289"/>
    </row>
    <row r="127" spans="1:17" s="29" customFormat="1" ht="12.75" hidden="1">
      <c r="A127" s="23" t="s">
        <v>184</v>
      </c>
      <c r="B127" s="250" t="s">
        <v>185</v>
      </c>
      <c r="C127" s="484">
        <f>Jun20!O127</f>
        <v>0</v>
      </c>
      <c r="D127" s="10">
        <f>Jun20!P127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6"/>
      <c r="O127" s="18">
        <f t="shared" si="3"/>
        <v>0</v>
      </c>
      <c r="P127" s="62"/>
      <c r="Q127" s="289"/>
    </row>
    <row r="128" spans="1:17" s="29" customFormat="1" ht="12.75" hidden="1">
      <c r="A128" s="23" t="s">
        <v>186</v>
      </c>
      <c r="B128" s="250" t="s">
        <v>204</v>
      </c>
      <c r="C128" s="484">
        <f>Jun20!O128</f>
        <v>0</v>
      </c>
      <c r="D128" s="22">
        <f>Jun20!P128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18">
        <f t="shared" si="3"/>
        <v>0</v>
      </c>
      <c r="P128" s="62"/>
      <c r="Q128" s="289"/>
    </row>
    <row r="129" spans="1:17" s="29" customFormat="1" ht="12.75">
      <c r="A129" s="23" t="s">
        <v>219</v>
      </c>
      <c r="B129" s="250" t="s">
        <v>205</v>
      </c>
      <c r="C129" s="484">
        <f>Jun20!O129</f>
        <v>65407</v>
      </c>
      <c r="D129" s="22">
        <f>Jun20!P129</f>
        <v>0</v>
      </c>
      <c r="E129" s="25">
        <v>12204.25</v>
      </c>
      <c r="F129" s="26"/>
      <c r="G129" s="27"/>
      <c r="H129" s="28"/>
      <c r="I129" s="25"/>
      <c r="J129" s="26"/>
      <c r="K129" s="27"/>
      <c r="L129" s="28"/>
      <c r="M129" s="27"/>
      <c r="N129" s="26"/>
      <c r="O129" s="18">
        <f t="shared" si="3"/>
        <v>77611.25</v>
      </c>
      <c r="P129" s="62"/>
      <c r="Q129" s="289"/>
    </row>
    <row r="130" spans="1:17" s="29" customFormat="1" ht="12.75">
      <c r="A130" s="23" t="s">
        <v>220</v>
      </c>
      <c r="B130" s="250" t="s">
        <v>206</v>
      </c>
      <c r="C130" s="484">
        <f>Jun20!O130</f>
        <v>55510</v>
      </c>
      <c r="D130" s="10">
        <f>Jun20!P130</f>
        <v>0</v>
      </c>
      <c r="E130" s="25">
        <v>57680</v>
      </c>
      <c r="F130" s="26"/>
      <c r="G130" s="27"/>
      <c r="H130" s="28"/>
      <c r="I130" s="25"/>
      <c r="J130" s="26"/>
      <c r="K130" s="27"/>
      <c r="L130" s="28"/>
      <c r="M130" s="27"/>
      <c r="N130" s="26"/>
      <c r="O130" s="18">
        <f t="shared" si="3"/>
        <v>113190</v>
      </c>
      <c r="P130" s="62"/>
      <c r="Q130" s="289"/>
    </row>
    <row r="131" spans="1:17" s="29" customFormat="1" ht="12.75" hidden="1">
      <c r="A131" s="23" t="s">
        <v>584</v>
      </c>
      <c r="B131" s="250" t="s">
        <v>585</v>
      </c>
      <c r="C131" s="484">
        <f>Jun20!O131</f>
        <v>0</v>
      </c>
      <c r="D131" s="22">
        <f>Jun20!P131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18">
        <f t="shared" si="3"/>
        <v>0</v>
      </c>
      <c r="P131" s="62"/>
      <c r="Q131" s="289"/>
    </row>
    <row r="132" spans="1:17" s="29" customFormat="1" ht="12.75" hidden="1">
      <c r="A132" s="23" t="s">
        <v>188</v>
      </c>
      <c r="B132" s="250" t="s">
        <v>189</v>
      </c>
      <c r="C132" s="484">
        <f>Jun20!O132</f>
        <v>0</v>
      </c>
      <c r="D132" s="22">
        <f>Jun20!P132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18">
        <f t="shared" si="3"/>
        <v>0</v>
      </c>
      <c r="P132" s="62"/>
      <c r="Q132" s="289"/>
    </row>
    <row r="133" spans="1:17" s="29" customFormat="1" ht="12.75">
      <c r="A133" s="23" t="s">
        <v>229</v>
      </c>
      <c r="B133" s="250" t="s">
        <v>227</v>
      </c>
      <c r="C133" s="484">
        <f>Jun20!O133</f>
        <v>54640</v>
      </c>
      <c r="D133" s="10">
        <f>Jun20!P133</f>
        <v>0</v>
      </c>
      <c r="E133" s="25">
        <v>2909</v>
      </c>
      <c r="F133" s="26"/>
      <c r="G133" s="27"/>
      <c r="H133" s="28"/>
      <c r="I133" s="25"/>
      <c r="J133" s="26"/>
      <c r="K133" s="27"/>
      <c r="L133" s="28"/>
      <c r="M133" s="27"/>
      <c r="N133" s="26"/>
      <c r="O133" s="18">
        <f t="shared" si="3"/>
        <v>57549</v>
      </c>
      <c r="P133" s="62"/>
      <c r="Q133" s="289"/>
    </row>
    <row r="134" spans="1:17" s="29" customFormat="1" ht="12.75">
      <c r="A134" s="23" t="s">
        <v>64</v>
      </c>
      <c r="B134" s="250" t="s">
        <v>187</v>
      </c>
      <c r="C134" s="484">
        <f>Jun20!O134</f>
        <v>0</v>
      </c>
      <c r="D134" s="22">
        <f>Jun20!P134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18">
        <f t="shared" si="3"/>
        <v>0</v>
      </c>
      <c r="P134" s="62"/>
      <c r="Q134" s="289"/>
    </row>
    <row r="135" spans="1:17" s="29" customFormat="1" ht="12.75">
      <c r="A135" s="23" t="s">
        <v>587</v>
      </c>
      <c r="B135" s="250" t="s">
        <v>586</v>
      </c>
      <c r="C135" s="484">
        <f>Jun20!O135</f>
        <v>0</v>
      </c>
      <c r="D135" s="22">
        <f>Jun20!P135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18">
        <f t="shared" si="3"/>
        <v>0</v>
      </c>
      <c r="P135" s="62"/>
      <c r="Q135" s="289"/>
    </row>
    <row r="136" spans="1:17" s="29" customFormat="1" ht="12.75">
      <c r="A136" s="23" t="s">
        <v>233</v>
      </c>
      <c r="B136" s="250" t="s">
        <v>232</v>
      </c>
      <c r="C136" s="484">
        <f>Jun20!O136</f>
        <v>66359521.61999999</v>
      </c>
      <c r="D136" s="10">
        <f>Jun20!P136</f>
        <v>0</v>
      </c>
      <c r="E136" s="25">
        <v>2335263.15</v>
      </c>
      <c r="F136" s="26"/>
      <c r="G136" s="27"/>
      <c r="H136" s="28"/>
      <c r="I136" s="25"/>
      <c r="J136" s="26"/>
      <c r="K136" s="27"/>
      <c r="L136" s="28"/>
      <c r="M136" s="27"/>
      <c r="N136" s="26"/>
      <c r="O136" s="18">
        <f t="shared" si="3"/>
        <v>68694784.77</v>
      </c>
      <c r="P136" s="62"/>
      <c r="Q136" s="289"/>
    </row>
    <row r="137" spans="1:17" s="29" customFormat="1" ht="12.75">
      <c r="A137" s="23" t="s">
        <v>69</v>
      </c>
      <c r="B137" s="250" t="s">
        <v>191</v>
      </c>
      <c r="C137" s="484">
        <f>Jun20!O137</f>
        <v>0</v>
      </c>
      <c r="D137" s="22">
        <f>Jun20!P137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18">
        <f t="shared" si="3"/>
        <v>0</v>
      </c>
      <c r="P137" s="62"/>
      <c r="Q137" s="289"/>
    </row>
    <row r="138" spans="1:17" s="29" customFormat="1" ht="12.75" hidden="1">
      <c r="A138" s="23" t="s">
        <v>211</v>
      </c>
      <c r="B138" s="250" t="s">
        <v>212</v>
      </c>
      <c r="C138" s="484">
        <f>Jun20!O138</f>
        <v>0</v>
      </c>
      <c r="D138" s="22">
        <f>Jun20!P138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18">
        <f t="shared" si="3"/>
        <v>0</v>
      </c>
      <c r="P138" s="62"/>
      <c r="Q138" s="289"/>
    </row>
    <row r="139" spans="1:17" s="29" customFormat="1" ht="12.75" hidden="1">
      <c r="A139" s="23" t="s">
        <v>540</v>
      </c>
      <c r="B139" s="250" t="s">
        <v>523</v>
      </c>
      <c r="C139" s="484">
        <f>Jun20!O139</f>
        <v>0</v>
      </c>
      <c r="D139" s="10">
        <f>Jun20!P139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18">
        <f t="shared" si="3"/>
        <v>0</v>
      </c>
      <c r="P139" s="62"/>
      <c r="Q139" s="289"/>
    </row>
    <row r="140" spans="1:17" s="29" customFormat="1" ht="12.75">
      <c r="A140" s="23" t="s">
        <v>73</v>
      </c>
      <c r="B140" s="250" t="s">
        <v>192</v>
      </c>
      <c r="C140" s="484">
        <f>Jun20!O140</f>
        <v>104112.1</v>
      </c>
      <c r="D140" s="22">
        <f>Jun20!P140</f>
        <v>0</v>
      </c>
      <c r="E140" s="25">
        <v>5040</v>
      </c>
      <c r="F140" s="26"/>
      <c r="G140" s="27"/>
      <c r="H140" s="28"/>
      <c r="I140" s="25"/>
      <c r="J140" s="26"/>
      <c r="K140" s="27"/>
      <c r="L140" s="28"/>
      <c r="M140" s="27"/>
      <c r="N140" s="26"/>
      <c r="O140" s="18">
        <f t="shared" si="3"/>
        <v>109152.1</v>
      </c>
      <c r="P140" s="62"/>
      <c r="Q140" s="289"/>
    </row>
    <row r="141" spans="1:17" s="29" customFormat="1" ht="12.75">
      <c r="A141" s="23" t="s">
        <v>38</v>
      </c>
      <c r="B141" s="250" t="s">
        <v>175</v>
      </c>
      <c r="C141" s="484">
        <f>Jun20!O141</f>
        <v>0</v>
      </c>
      <c r="D141" s="22">
        <f>Jun20!P141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18">
        <f t="shared" si="3"/>
        <v>0</v>
      </c>
      <c r="P141" s="62"/>
      <c r="Q141" s="289"/>
    </row>
    <row r="142" spans="1:17" s="29" customFormat="1" ht="12.75">
      <c r="A142" s="23" t="s">
        <v>62</v>
      </c>
      <c r="B142" s="250" t="s">
        <v>176</v>
      </c>
      <c r="C142" s="484">
        <f>Jun20!O142</f>
        <v>0</v>
      </c>
      <c r="D142" s="10">
        <f>Jun20!P142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18">
        <f t="shared" si="3"/>
        <v>0</v>
      </c>
      <c r="P142" s="62"/>
      <c r="Q142" s="289"/>
    </row>
    <row r="143" spans="1:17" s="29" customFormat="1" ht="12.75">
      <c r="A143" s="23" t="s">
        <v>63</v>
      </c>
      <c r="B143" s="250" t="s">
        <v>177</v>
      </c>
      <c r="C143" s="484">
        <f>Jun20!O143</f>
        <v>1460</v>
      </c>
      <c r="D143" s="22">
        <f>Jun20!P143</f>
        <v>0</v>
      </c>
      <c r="E143" s="25">
        <v>670</v>
      </c>
      <c r="F143" s="26"/>
      <c r="G143" s="27"/>
      <c r="H143" s="28"/>
      <c r="I143" s="25"/>
      <c r="J143" s="26"/>
      <c r="K143" s="27"/>
      <c r="L143" s="28"/>
      <c r="M143" s="27"/>
      <c r="N143" s="26"/>
      <c r="O143" s="18">
        <f t="shared" si="3"/>
        <v>2130</v>
      </c>
      <c r="P143" s="62"/>
      <c r="Q143" s="289"/>
    </row>
    <row r="144" spans="1:17" s="29" customFormat="1" ht="12.75">
      <c r="A144" s="23" t="s">
        <v>560</v>
      </c>
      <c r="B144" s="250" t="s">
        <v>561</v>
      </c>
      <c r="C144" s="484">
        <f>Jun20!O144</f>
        <v>0</v>
      </c>
      <c r="D144" s="22">
        <f>Jun20!P144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6"/>
      <c r="O144" s="18">
        <f t="shared" si="3"/>
        <v>0</v>
      </c>
      <c r="P144" s="62"/>
      <c r="Q144" s="289"/>
    </row>
    <row r="145" spans="1:17" s="29" customFormat="1" ht="12.75">
      <c r="A145" s="23" t="s">
        <v>53</v>
      </c>
      <c r="B145" s="250" t="s">
        <v>528</v>
      </c>
      <c r="C145" s="484">
        <f>Jun20!O145</f>
        <v>461176.47</v>
      </c>
      <c r="D145" s="10">
        <f>Jun20!P145</f>
        <v>0</v>
      </c>
      <c r="E145" s="326"/>
      <c r="F145" s="25"/>
      <c r="G145" s="27"/>
      <c r="H145" s="28"/>
      <c r="I145" s="25"/>
      <c r="J145" s="26"/>
      <c r="K145" s="27"/>
      <c r="L145" s="28"/>
      <c r="M145" s="27"/>
      <c r="N145" s="26"/>
      <c r="O145" s="18">
        <f t="shared" si="3"/>
        <v>461176.47</v>
      </c>
      <c r="P145" s="62"/>
      <c r="Q145" s="289"/>
    </row>
    <row r="146" spans="1:17" s="29" customFormat="1" ht="12.75">
      <c r="A146" s="23" t="s">
        <v>701</v>
      </c>
      <c r="B146" s="250" t="s">
        <v>702</v>
      </c>
      <c r="C146" s="484">
        <f>Jun20!O146</f>
        <v>0</v>
      </c>
      <c r="D146" s="22">
        <f>Jun20!P146</f>
        <v>0</v>
      </c>
      <c r="E146" s="326"/>
      <c r="F146" s="25"/>
      <c r="G146" s="27"/>
      <c r="H146" s="28"/>
      <c r="I146" s="25"/>
      <c r="J146" s="26"/>
      <c r="K146" s="27"/>
      <c r="L146" s="28"/>
      <c r="M146" s="27"/>
      <c r="N146" s="26"/>
      <c r="O146" s="18">
        <f t="shared" si="3"/>
        <v>0</v>
      </c>
      <c r="P146" s="62"/>
      <c r="Q146" s="289"/>
    </row>
    <row r="147" spans="1:17" s="29" customFormat="1" ht="12.75" hidden="1">
      <c r="A147" s="23" t="s">
        <v>68</v>
      </c>
      <c r="B147" s="250" t="s">
        <v>174</v>
      </c>
      <c r="C147" s="484">
        <f>Jun20!O147</f>
        <v>0</v>
      </c>
      <c r="D147" s="22">
        <f>Jun20!P147</f>
        <v>0</v>
      </c>
      <c r="E147" s="326"/>
      <c r="F147" s="25"/>
      <c r="G147" s="27"/>
      <c r="H147" s="28"/>
      <c r="I147" s="25"/>
      <c r="J147" s="26"/>
      <c r="K147" s="27"/>
      <c r="L147" s="28"/>
      <c r="M147" s="27"/>
      <c r="N147" s="26"/>
      <c r="O147" s="18">
        <f t="shared" si="3"/>
        <v>0</v>
      </c>
      <c r="P147" s="115"/>
      <c r="Q147" s="289"/>
    </row>
    <row r="148" spans="1:17" s="29" customFormat="1" ht="12.75" hidden="1">
      <c r="A148" s="23" t="s">
        <v>244</v>
      </c>
      <c r="B148" s="250" t="s">
        <v>237</v>
      </c>
      <c r="C148" s="484">
        <f>Jun20!O148</f>
        <v>0</v>
      </c>
      <c r="D148" s="10">
        <f>Jun20!P148</f>
        <v>0</v>
      </c>
      <c r="E148" s="326"/>
      <c r="F148" s="25"/>
      <c r="G148" s="27"/>
      <c r="H148" s="62"/>
      <c r="I148" s="25"/>
      <c r="J148" s="25"/>
      <c r="K148" s="27"/>
      <c r="L148" s="62"/>
      <c r="M148" s="27"/>
      <c r="N148" s="25"/>
      <c r="O148" s="18">
        <f t="shared" si="3"/>
        <v>0</v>
      </c>
      <c r="P148" s="115"/>
      <c r="Q148" s="489"/>
    </row>
    <row r="149" spans="1:17" s="29" customFormat="1" ht="12.75">
      <c r="A149" s="23" t="s">
        <v>23</v>
      </c>
      <c r="B149" s="250" t="s">
        <v>524</v>
      </c>
      <c r="C149" s="484">
        <f>Jun20!O149</f>
        <v>460371.45</v>
      </c>
      <c r="D149" s="22">
        <f>Jun20!P149</f>
        <v>0</v>
      </c>
      <c r="E149" s="326">
        <v>82303.24</v>
      </c>
      <c r="F149" s="25"/>
      <c r="G149" s="326"/>
      <c r="H149" s="62"/>
      <c r="I149" s="326"/>
      <c r="J149" s="25"/>
      <c r="K149" s="326"/>
      <c r="L149" s="62"/>
      <c r="M149" s="326"/>
      <c r="N149" s="25"/>
      <c r="O149" s="18">
        <f t="shared" si="3"/>
        <v>542674.6900000001</v>
      </c>
      <c r="P149" s="115"/>
      <c r="Q149" s="489"/>
    </row>
    <row r="150" spans="1:17" s="29" customFormat="1" ht="12.75">
      <c r="A150" s="23" t="s">
        <v>245</v>
      </c>
      <c r="B150" s="250" t="s">
        <v>525</v>
      </c>
      <c r="C150" s="484">
        <f>Jun20!O150</f>
        <v>0</v>
      </c>
      <c r="D150" s="22">
        <f>Jun20!P150</f>
        <v>0</v>
      </c>
      <c r="E150" s="326"/>
      <c r="F150" s="25"/>
      <c r="G150" s="326"/>
      <c r="H150" s="62"/>
      <c r="I150" s="326"/>
      <c r="J150" s="25"/>
      <c r="K150" s="326"/>
      <c r="L150" s="62"/>
      <c r="M150" s="326"/>
      <c r="N150" s="25"/>
      <c r="O150" s="18">
        <f t="shared" si="3"/>
        <v>0</v>
      </c>
      <c r="P150" s="115"/>
      <c r="Q150" s="489"/>
    </row>
    <row r="151" spans="1:17" s="29" customFormat="1" ht="12.75">
      <c r="A151" s="8" t="s">
        <v>214</v>
      </c>
      <c r="B151" s="250" t="s">
        <v>574</v>
      </c>
      <c r="C151" s="484">
        <f>Jun20!O151</f>
        <v>0</v>
      </c>
      <c r="D151" s="10">
        <f>Jun20!P151</f>
        <v>0</v>
      </c>
      <c r="E151" s="25"/>
      <c r="F151" s="25"/>
      <c r="G151" s="27"/>
      <c r="H151" s="62"/>
      <c r="I151" s="25"/>
      <c r="J151" s="25"/>
      <c r="K151" s="27"/>
      <c r="L151" s="62"/>
      <c r="M151" s="27"/>
      <c r="N151" s="25"/>
      <c r="O151" s="18">
        <f t="shared" si="3"/>
        <v>0</v>
      </c>
      <c r="P151" s="115"/>
      <c r="Q151" s="489"/>
    </row>
    <row r="152" spans="1:17" s="29" customFormat="1" ht="12.75">
      <c r="A152" s="8" t="s">
        <v>77</v>
      </c>
      <c r="B152" s="250" t="s">
        <v>575</v>
      </c>
      <c r="C152" s="484">
        <f>Jun20!O152</f>
        <v>0</v>
      </c>
      <c r="D152" s="22">
        <f>Jun20!P152</f>
        <v>0</v>
      </c>
      <c r="E152" s="25"/>
      <c r="F152" s="25"/>
      <c r="G152" s="27"/>
      <c r="H152" s="62"/>
      <c r="I152" s="25"/>
      <c r="J152" s="25"/>
      <c r="K152" s="27"/>
      <c r="L152" s="62"/>
      <c r="M152" s="27"/>
      <c r="N152" s="25"/>
      <c r="O152" s="18">
        <f t="shared" si="3"/>
        <v>0</v>
      </c>
      <c r="P152" s="115"/>
      <c r="Q152" s="489"/>
    </row>
    <row r="153" spans="1:17" s="29" customFormat="1" ht="12.75">
      <c r="A153" s="8" t="s">
        <v>78</v>
      </c>
      <c r="B153" s="250" t="s">
        <v>576</v>
      </c>
      <c r="C153" s="484">
        <f>Jun20!O153</f>
        <v>0</v>
      </c>
      <c r="D153" s="22">
        <f>Jun20!P153</f>
        <v>0</v>
      </c>
      <c r="E153" s="25"/>
      <c r="F153" s="25"/>
      <c r="G153" s="27"/>
      <c r="H153" s="62"/>
      <c r="I153" s="25"/>
      <c r="J153" s="25"/>
      <c r="K153" s="27"/>
      <c r="L153" s="62"/>
      <c r="M153" s="27"/>
      <c r="N153" s="25"/>
      <c r="O153" s="18">
        <f t="shared" si="3"/>
        <v>0</v>
      </c>
      <c r="P153" s="115"/>
      <c r="Q153" s="489"/>
    </row>
    <row r="154" spans="1:17" s="29" customFormat="1" ht="12.75">
      <c r="A154" s="8" t="s">
        <v>801</v>
      </c>
      <c r="B154" s="250" t="s">
        <v>802</v>
      </c>
      <c r="C154" s="484">
        <f>Jun20!O154</f>
        <v>0</v>
      </c>
      <c r="D154" s="10">
        <f>Jun20!P154</f>
        <v>0</v>
      </c>
      <c r="E154" s="25"/>
      <c r="F154" s="25"/>
      <c r="G154" s="27"/>
      <c r="H154" s="62"/>
      <c r="I154" s="25"/>
      <c r="J154" s="25"/>
      <c r="K154" s="27"/>
      <c r="L154" s="62"/>
      <c r="M154" s="27">
        <v>213360.76</v>
      </c>
      <c r="N154" s="25"/>
      <c r="O154" s="18">
        <f t="shared" si="3"/>
        <v>213360.76</v>
      </c>
      <c r="P154" s="115"/>
      <c r="Q154" s="489"/>
    </row>
    <row r="155" spans="1:17" s="29" customFormat="1" ht="12.75">
      <c r="A155" s="8" t="s">
        <v>578</v>
      </c>
      <c r="B155" s="250" t="s">
        <v>579</v>
      </c>
      <c r="C155" s="484">
        <f>Jun20!O155</f>
        <v>0</v>
      </c>
      <c r="D155" s="22">
        <f>Jun20!P155</f>
        <v>0</v>
      </c>
      <c r="E155" s="25"/>
      <c r="F155" s="25"/>
      <c r="G155" s="27"/>
      <c r="H155" s="62"/>
      <c r="I155" s="25"/>
      <c r="J155" s="25"/>
      <c r="K155" s="27"/>
      <c r="L155" s="62"/>
      <c r="M155" s="27"/>
      <c r="N155" s="25"/>
      <c r="O155" s="18">
        <f t="shared" si="3"/>
        <v>0</v>
      </c>
      <c r="P155" s="115"/>
      <c r="Q155" s="489"/>
    </row>
    <row r="156" spans="1:17" s="29" customFormat="1" ht="12.75">
      <c r="A156" s="8" t="s">
        <v>580</v>
      </c>
      <c r="B156" s="250" t="s">
        <v>581</v>
      </c>
      <c r="C156" s="484">
        <f>Jun20!O156</f>
        <v>0</v>
      </c>
      <c r="D156" s="22">
        <f>Jun20!P156</f>
        <v>0</v>
      </c>
      <c r="E156" s="25"/>
      <c r="F156" s="25"/>
      <c r="G156" s="27"/>
      <c r="H156" s="62"/>
      <c r="I156" s="25"/>
      <c r="J156" s="25"/>
      <c r="K156" s="27"/>
      <c r="L156" s="62"/>
      <c r="M156" s="27"/>
      <c r="N156" s="25"/>
      <c r="O156" s="18">
        <f>C156+E156+I156+M156-D156-F156-J156-N156+G156-H156+K156-L156</f>
        <v>0</v>
      </c>
      <c r="P156" s="115"/>
      <c r="Q156" s="489"/>
    </row>
    <row r="157" spans="1:16" s="29" customFormat="1" ht="13.5" thickBot="1">
      <c r="A157" s="8" t="s">
        <v>82</v>
      </c>
      <c r="B157" s="510" t="s">
        <v>582</v>
      </c>
      <c r="C157" s="503">
        <f>Jun20!O157</f>
        <v>0</v>
      </c>
      <c r="D157" s="10">
        <f>Jun20!P157</f>
        <v>0</v>
      </c>
      <c r="E157" s="63"/>
      <c r="F157" s="25"/>
      <c r="G157" s="61"/>
      <c r="H157" s="62"/>
      <c r="I157" s="63"/>
      <c r="J157" s="25"/>
      <c r="K157" s="61"/>
      <c r="L157" s="62"/>
      <c r="M157" s="61"/>
      <c r="N157" s="25"/>
      <c r="O157" s="273">
        <f>C157+E157+I157+M157-D157-F157-J157-N157+G157-H157+K157-L157</f>
        <v>0</v>
      </c>
      <c r="P157" s="62"/>
    </row>
    <row r="158" spans="1:16" s="29" customFormat="1" ht="13.5" thickBot="1">
      <c r="A158" s="123" t="s">
        <v>24</v>
      </c>
      <c r="B158" s="124"/>
      <c r="C158" s="125">
        <f aca="true" t="shared" si="4" ref="C158:P158">SUM(C14:C157)</f>
        <v>181121505.96999997</v>
      </c>
      <c r="D158" s="126">
        <f t="shared" si="4"/>
        <v>181121505.97</v>
      </c>
      <c r="E158" s="125">
        <f t="shared" si="4"/>
        <v>5287241.45</v>
      </c>
      <c r="F158" s="125">
        <f t="shared" si="4"/>
        <v>5287241.449999999</v>
      </c>
      <c r="G158" s="125">
        <f t="shared" si="4"/>
        <v>0</v>
      </c>
      <c r="H158" s="125">
        <f t="shared" si="4"/>
        <v>0</v>
      </c>
      <c r="I158" s="125">
        <f t="shared" si="4"/>
        <v>0</v>
      </c>
      <c r="J158" s="125">
        <f t="shared" si="4"/>
        <v>0</v>
      </c>
      <c r="K158" s="125">
        <f t="shared" si="4"/>
        <v>278731.1</v>
      </c>
      <c r="L158" s="125">
        <f t="shared" si="4"/>
        <v>278731.1</v>
      </c>
      <c r="M158" s="125">
        <f t="shared" si="4"/>
        <v>84405032.42000002</v>
      </c>
      <c r="N158" s="125">
        <f t="shared" si="4"/>
        <v>84405032.42</v>
      </c>
      <c r="O158" s="125">
        <f t="shared" si="4"/>
        <v>265582822.02999997</v>
      </c>
      <c r="P158" s="481">
        <f t="shared" si="4"/>
        <v>265582822.03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0" spans="1:16" s="29" customFormat="1" ht="12.75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9"/>
      <c r="P162" s="30"/>
    </row>
    <row r="163" spans="1:16" s="29" customFormat="1" ht="12.7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0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712</v>
      </c>
      <c r="P164" s="30"/>
    </row>
    <row r="165" spans="1:16" s="288" customFormat="1" ht="12.75">
      <c r="A165" s="16" t="s">
        <v>210</v>
      </c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567" t="s">
        <v>224</v>
      </c>
      <c r="P165" s="567"/>
    </row>
  </sheetData>
  <sheetProtection/>
  <mergeCells count="17">
    <mergeCell ref="A10:A11"/>
    <mergeCell ref="E10:F10"/>
    <mergeCell ref="G10:H10"/>
    <mergeCell ref="I10:J10"/>
    <mergeCell ref="K10:L10"/>
    <mergeCell ref="M10:N10"/>
    <mergeCell ref="C10:D10"/>
    <mergeCell ref="O165:P165"/>
    <mergeCell ref="P10:P11"/>
    <mergeCell ref="A2:P2"/>
    <mergeCell ref="A3:P3"/>
    <mergeCell ref="A5:P5"/>
    <mergeCell ref="A6:P6"/>
    <mergeCell ref="A7:P7"/>
    <mergeCell ref="A8:P8"/>
    <mergeCell ref="A9:P9"/>
    <mergeCell ref="O10:O11"/>
  </mergeCells>
  <printOptions/>
  <pageMargins left="0.73" right="0.13" top="0.89" bottom="0.6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Q295"/>
  <sheetViews>
    <sheetView zoomScalePageLayoutView="0" workbookViewId="0" topLeftCell="A1">
      <pane xSplit="2" ySplit="11" topLeftCell="C5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76" sqref="H76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4.57421875" style="30" customWidth="1"/>
    <col min="5" max="6" width="13.57421875" style="30" customWidth="1"/>
    <col min="7" max="7" width="10.00390625" style="30" customWidth="1"/>
    <col min="8" max="8" width="10.28125" style="30" customWidth="1"/>
    <col min="9" max="10" width="10.421875" style="30" customWidth="1"/>
    <col min="11" max="11" width="12.8515625" style="30" customWidth="1"/>
    <col min="12" max="12" width="13.2812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2.75">
      <c r="A2" s="536" t="s">
        <v>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2.75">
      <c r="A5" s="536" t="s">
        <v>44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</row>
    <row r="6" spans="1:16" ht="12.75">
      <c r="A6" s="536" t="s">
        <v>771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2.75">
      <c r="A10" s="572" t="s">
        <v>5</v>
      </c>
      <c r="B10" s="295" t="s">
        <v>4</v>
      </c>
      <c r="C10" s="574" t="s">
        <v>772</v>
      </c>
      <c r="D10" s="575"/>
      <c r="E10" s="574" t="s">
        <v>49</v>
      </c>
      <c r="F10" s="575"/>
      <c r="G10" s="574" t="s">
        <v>54</v>
      </c>
      <c r="H10" s="575"/>
      <c r="I10" s="574" t="s">
        <v>48</v>
      </c>
      <c r="J10" s="575"/>
      <c r="K10" s="574" t="s">
        <v>57</v>
      </c>
      <c r="L10" s="575"/>
      <c r="M10" s="574" t="s">
        <v>50</v>
      </c>
      <c r="N10" s="576"/>
      <c r="O10" s="570" t="s">
        <v>7</v>
      </c>
      <c r="P10" s="568" t="s">
        <v>8</v>
      </c>
    </row>
    <row r="11" spans="1:16" ht="13.5" thickBot="1">
      <c r="A11" s="573"/>
      <c r="B11" s="65" t="s">
        <v>6</v>
      </c>
      <c r="C11" s="296" t="s">
        <v>7</v>
      </c>
      <c r="D11" s="297" t="s">
        <v>8</v>
      </c>
      <c r="E11" s="298" t="s">
        <v>7</v>
      </c>
      <c r="F11" s="65" t="s">
        <v>8</v>
      </c>
      <c r="G11" s="296" t="s">
        <v>7</v>
      </c>
      <c r="H11" s="297" t="s">
        <v>8</v>
      </c>
      <c r="I11" s="298" t="s">
        <v>7</v>
      </c>
      <c r="J11" s="297" t="s">
        <v>8</v>
      </c>
      <c r="K11" s="296" t="s">
        <v>7</v>
      </c>
      <c r="L11" s="297" t="s">
        <v>8</v>
      </c>
      <c r="M11" s="296" t="s">
        <v>7</v>
      </c>
      <c r="N11" s="65" t="s">
        <v>8</v>
      </c>
      <c r="O11" s="571"/>
      <c r="P11" s="569"/>
    </row>
    <row r="12" spans="1:16" ht="13.5" customHeight="1">
      <c r="A12" s="43"/>
      <c r="B12" s="515"/>
      <c r="C12" s="512"/>
      <c r="D12" s="494"/>
      <c r="E12" s="492"/>
      <c r="F12" s="494"/>
      <c r="G12" s="43"/>
      <c r="H12" s="72"/>
      <c r="I12" s="290"/>
      <c r="J12" s="24"/>
      <c r="K12" s="43"/>
      <c r="L12" s="72"/>
      <c r="M12" s="43"/>
      <c r="N12" s="24"/>
      <c r="O12" s="492"/>
      <c r="P12" s="73"/>
    </row>
    <row r="13" spans="1:16" ht="12.75" customHeight="1">
      <c r="A13" s="4" t="s">
        <v>9</v>
      </c>
      <c r="B13" s="505"/>
      <c r="C13" s="483"/>
      <c r="D13" s="115"/>
      <c r="E13" s="56"/>
      <c r="F13" s="115"/>
      <c r="G13" s="23"/>
      <c r="H13" s="294"/>
      <c r="I13" s="29"/>
      <c r="J13" s="44"/>
      <c r="K13" s="23"/>
      <c r="L13" s="294"/>
      <c r="M13" s="23"/>
      <c r="N13" s="44"/>
      <c r="O13" s="56"/>
      <c r="P13" s="115"/>
    </row>
    <row r="14" spans="1:16" ht="12.75">
      <c r="A14" s="102" t="s">
        <v>678</v>
      </c>
      <c r="B14" s="506" t="s">
        <v>679</v>
      </c>
      <c r="C14" s="513">
        <f>Jul20!O14</f>
        <v>0</v>
      </c>
      <c r="D14" s="301">
        <f>Jul20!P14</f>
        <v>0</v>
      </c>
      <c r="E14" s="299"/>
      <c r="F14" s="115"/>
      <c r="G14" s="300"/>
      <c r="H14" s="294"/>
      <c r="I14" s="92"/>
      <c r="J14" s="44"/>
      <c r="K14" s="300"/>
      <c r="L14" s="294"/>
      <c r="M14" s="300"/>
      <c r="N14" s="44"/>
      <c r="O14" s="299">
        <f>C14+E14+I14+M14-D14-F14-J14-N14+G14-H14+K14-L14</f>
        <v>0</v>
      </c>
      <c r="P14" s="301"/>
    </row>
    <row r="15" spans="1:16" s="29" customFormat="1" ht="12.75">
      <c r="A15" s="49" t="s">
        <v>101</v>
      </c>
      <c r="B15" s="506" t="s">
        <v>100</v>
      </c>
      <c r="C15" s="513">
        <f>Jul20!O15</f>
        <v>35000</v>
      </c>
      <c r="D15" s="301">
        <f>Jul20!P15</f>
        <v>0</v>
      </c>
      <c r="E15" s="299"/>
      <c r="F15" s="115"/>
      <c r="G15" s="300"/>
      <c r="H15" s="294"/>
      <c r="I15" s="92"/>
      <c r="J15" s="44"/>
      <c r="K15" s="300"/>
      <c r="L15" s="294"/>
      <c r="M15" s="300"/>
      <c r="N15" s="44"/>
      <c r="O15" s="299">
        <f>C15+E15+G15+I15+K15+M15-D15-F15-H15-J15-L15-N15</f>
        <v>35000</v>
      </c>
      <c r="P15" s="301"/>
    </row>
    <row r="16" spans="1:16" s="29" customFormat="1" ht="12.75">
      <c r="A16" s="49" t="s">
        <v>589</v>
      </c>
      <c r="B16" s="506" t="s">
        <v>230</v>
      </c>
      <c r="C16" s="513">
        <f>Jul20!O16</f>
        <v>333912.42</v>
      </c>
      <c r="D16" s="301">
        <f>Jul20!P16</f>
        <v>0</v>
      </c>
      <c r="E16" s="326"/>
      <c r="F16" s="301"/>
      <c r="G16" s="27"/>
      <c r="H16" s="294"/>
      <c r="I16" s="25"/>
      <c r="J16" s="44"/>
      <c r="K16" s="27"/>
      <c r="L16" s="294"/>
      <c r="M16" s="301"/>
      <c r="N16" s="303"/>
      <c r="O16" s="299">
        <f>C16+E16+I16+M16-D16-F16-J16-N16+G16-H16+K16-L16</f>
        <v>333912.42</v>
      </c>
      <c r="P16" s="301"/>
    </row>
    <row r="17" spans="1:16" s="29" customFormat="1" ht="12.75">
      <c r="A17" s="49" t="s">
        <v>636</v>
      </c>
      <c r="B17" s="506" t="s">
        <v>590</v>
      </c>
      <c r="C17" s="513">
        <f>Jul20!O17</f>
        <v>0</v>
      </c>
      <c r="D17" s="301">
        <f>Jul20!P17</f>
        <v>0</v>
      </c>
      <c r="E17" s="326"/>
      <c r="F17" s="496"/>
      <c r="G17" s="27"/>
      <c r="H17" s="294"/>
      <c r="I17" s="25"/>
      <c r="J17" s="303"/>
      <c r="K17" s="27"/>
      <c r="L17" s="294"/>
      <c r="M17" s="27"/>
      <c r="N17" s="303"/>
      <c r="O17" s="299">
        <f>C17+E17+G17+I17+K17+M17-D17-F17-H17-J17-L17-N17</f>
        <v>0</v>
      </c>
      <c r="P17" s="301"/>
    </row>
    <row r="18" spans="1:16" s="29" customFormat="1" ht="12.75">
      <c r="A18" s="49" t="s">
        <v>103</v>
      </c>
      <c r="B18" s="506" t="s">
        <v>102</v>
      </c>
      <c r="C18" s="513">
        <f>Jul20!O18</f>
        <v>79108333.10999998</v>
      </c>
      <c r="D18" s="301">
        <f>Jul20!P18</f>
        <v>0</v>
      </c>
      <c r="E18" s="326"/>
      <c r="F18" s="301">
        <v>6666489.16</v>
      </c>
      <c r="G18" s="27"/>
      <c r="H18" s="294"/>
      <c r="I18" s="25"/>
      <c r="J18" s="303"/>
      <c r="K18" s="27"/>
      <c r="L18" s="294"/>
      <c r="M18" s="27">
        <f>1687889.2+242576.4</f>
        <v>1930465.5999999999</v>
      </c>
      <c r="N18" s="303"/>
      <c r="O18" s="299">
        <f>C18+E18+I18+M18-D18-F18-J18-N18+G18-H18+K18-L18</f>
        <v>74372309.54999998</v>
      </c>
      <c r="P18" s="301"/>
    </row>
    <row r="19" spans="1:16" s="29" customFormat="1" ht="12.75">
      <c r="A19" s="49" t="s">
        <v>10</v>
      </c>
      <c r="B19" s="506" t="s">
        <v>104</v>
      </c>
      <c r="C19" s="513">
        <f>Jul20!O19</f>
        <v>12873134.89</v>
      </c>
      <c r="D19" s="301">
        <f>Jul20!P19</f>
        <v>0</v>
      </c>
      <c r="E19" s="326"/>
      <c r="F19" s="496"/>
      <c r="G19" s="27"/>
      <c r="H19" s="294"/>
      <c r="I19" s="25"/>
      <c r="J19" s="303"/>
      <c r="K19" s="27"/>
      <c r="L19" s="294"/>
      <c r="M19" s="27"/>
      <c r="N19" s="303"/>
      <c r="O19" s="299">
        <f>C19+E19+I19+M19-D19-F19-J19-N19+G19-H19+K19-L19</f>
        <v>12873134.89</v>
      </c>
      <c r="P19" s="301"/>
    </row>
    <row r="20" spans="1:16" s="29" customFormat="1" ht="12.75">
      <c r="A20" s="49" t="s">
        <v>567</v>
      </c>
      <c r="B20" s="506" t="s">
        <v>568</v>
      </c>
      <c r="C20" s="513">
        <f>Jul20!O20</f>
        <v>22237581.29</v>
      </c>
      <c r="D20" s="301">
        <f>Jul20!P20</f>
        <v>0</v>
      </c>
      <c r="E20" s="326"/>
      <c r="F20" s="62"/>
      <c r="G20" s="27"/>
      <c r="H20" s="28"/>
      <c r="I20" s="25"/>
      <c r="J20" s="26"/>
      <c r="K20" s="27"/>
      <c r="L20" s="28"/>
      <c r="M20" s="27"/>
      <c r="N20" s="26"/>
      <c r="O20" s="299">
        <f>C20+E20+G20+I20+K20+M20-D20-F20-H20-J20-L20-N20</f>
        <v>22237581.29</v>
      </c>
      <c r="P20" s="301"/>
    </row>
    <row r="21" spans="1:16" s="29" customFormat="1" ht="12.75">
      <c r="A21" s="49" t="s">
        <v>225</v>
      </c>
      <c r="B21" s="506" t="s">
        <v>226</v>
      </c>
      <c r="C21" s="513">
        <f>Jul20!O21</f>
        <v>497000</v>
      </c>
      <c r="D21" s="301">
        <f>Jul20!P21</f>
        <v>0</v>
      </c>
      <c r="E21" s="326"/>
      <c r="F21" s="62"/>
      <c r="G21" s="27"/>
      <c r="H21" s="28"/>
      <c r="I21" s="25"/>
      <c r="J21" s="26"/>
      <c r="K21" s="27"/>
      <c r="L21" s="28"/>
      <c r="M21" s="27"/>
      <c r="N21" s="26"/>
      <c r="O21" s="299">
        <f>C21+E21+I21+M21-D21-F21-J21-N21+G21-H21+K21-L21</f>
        <v>497000</v>
      </c>
      <c r="P21" s="301"/>
    </row>
    <row r="22" spans="1:16" s="29" customFormat="1" ht="12.75">
      <c r="A22" s="49" t="s">
        <v>11</v>
      </c>
      <c r="B22" s="506" t="s">
        <v>105</v>
      </c>
      <c r="C22" s="513">
        <f>Jul20!O22</f>
        <v>483672.22</v>
      </c>
      <c r="D22" s="301">
        <f>Jul20!P22</f>
        <v>0</v>
      </c>
      <c r="E22" s="326">
        <v>127555</v>
      </c>
      <c r="F22" s="62"/>
      <c r="G22" s="27"/>
      <c r="H22" s="28"/>
      <c r="I22" s="25"/>
      <c r="J22" s="26"/>
      <c r="K22" s="27"/>
      <c r="L22" s="28"/>
      <c r="M22" s="27"/>
      <c r="N22" s="26"/>
      <c r="O22" s="299">
        <f>C22+E22+G22+I22+K22+M22-D22-F22-H22-J22-L22-N22</f>
        <v>611227.22</v>
      </c>
      <c r="P22" s="62"/>
    </row>
    <row r="23" spans="1:16" s="29" customFormat="1" ht="12.75">
      <c r="A23" s="74" t="s">
        <v>108</v>
      </c>
      <c r="B23" s="507" t="s">
        <v>106</v>
      </c>
      <c r="C23" s="513">
        <f>Jul20!O23</f>
        <v>1600</v>
      </c>
      <c r="D23" s="301">
        <f>Jul20!P23</f>
        <v>0</v>
      </c>
      <c r="E23" s="326"/>
      <c r="F23" s="62"/>
      <c r="G23" s="27"/>
      <c r="H23" s="28"/>
      <c r="I23" s="25"/>
      <c r="J23" s="26"/>
      <c r="K23" s="27"/>
      <c r="L23" s="28"/>
      <c r="M23" s="27"/>
      <c r="N23" s="26"/>
      <c r="O23" s="299">
        <f>C23+E23+I23+M23-D23-F23-J23-N23+G23-H23+K23-L23</f>
        <v>1600</v>
      </c>
      <c r="P23" s="62"/>
    </row>
    <row r="24" spans="1:16" s="29" customFormat="1" ht="12.75">
      <c r="A24" s="49" t="s">
        <v>109</v>
      </c>
      <c r="B24" s="506" t="s">
        <v>107</v>
      </c>
      <c r="C24" s="513">
        <f>Jul20!O24</f>
        <v>0</v>
      </c>
      <c r="D24" s="301">
        <f>Jul20!P24</f>
        <v>0</v>
      </c>
      <c r="E24" s="326"/>
      <c r="F24" s="62"/>
      <c r="G24" s="27"/>
      <c r="H24" s="28"/>
      <c r="I24" s="25"/>
      <c r="J24" s="26"/>
      <c r="K24" s="27"/>
      <c r="L24" s="28"/>
      <c r="M24" s="27"/>
      <c r="N24" s="26"/>
      <c r="O24" s="299">
        <f>C24+E24+I24+M24-D24-F24-J24-N24+G24-H24+K24-L24</f>
        <v>0</v>
      </c>
      <c r="P24" s="62"/>
    </row>
    <row r="25" spans="1:16" s="29" customFormat="1" ht="12.75">
      <c r="A25" s="49" t="s">
        <v>239</v>
      </c>
      <c r="B25" s="506" t="s">
        <v>240</v>
      </c>
      <c r="C25" s="513">
        <f>Jul20!O25</f>
        <v>0</v>
      </c>
      <c r="D25" s="301">
        <f>Jul20!P25</f>
        <v>0</v>
      </c>
      <c r="E25" s="326"/>
      <c r="F25" s="62"/>
      <c r="G25" s="27"/>
      <c r="H25" s="28"/>
      <c r="I25" s="25"/>
      <c r="J25" s="26"/>
      <c r="K25" s="27"/>
      <c r="L25" s="28"/>
      <c r="M25" s="27"/>
      <c r="N25" s="26"/>
      <c r="O25" s="299">
        <f>C25+E25+G25+I25+K25+M25-D25-F25-H25-J25-L25-N25</f>
        <v>0</v>
      </c>
      <c r="P25" s="62"/>
    </row>
    <row r="26" spans="1:16" s="29" customFormat="1" ht="12.75">
      <c r="A26" s="49" t="s">
        <v>238</v>
      </c>
      <c r="B26" s="506" t="s">
        <v>231</v>
      </c>
      <c r="C26" s="513">
        <f>Jul20!O26</f>
        <v>0</v>
      </c>
      <c r="D26" s="301">
        <f>Jul20!P26</f>
        <v>0</v>
      </c>
      <c r="E26" s="326"/>
      <c r="F26" s="62"/>
      <c r="G26" s="27"/>
      <c r="H26" s="28"/>
      <c r="I26" s="25"/>
      <c r="J26" s="26"/>
      <c r="K26" s="27"/>
      <c r="L26" s="28"/>
      <c r="M26" s="27"/>
      <c r="N26" s="26"/>
      <c r="O26" s="299">
        <f>C26+E26+I26+M26-D26-F26-J26-N26+G26-H26+K26-L26</f>
        <v>0</v>
      </c>
      <c r="P26" s="62"/>
    </row>
    <row r="27" spans="1:16" s="29" customFormat="1" ht="12.75">
      <c r="A27" s="49" t="s">
        <v>534</v>
      </c>
      <c r="B27" s="506" t="s">
        <v>526</v>
      </c>
      <c r="C27" s="513">
        <f>Jul20!O27</f>
        <v>0</v>
      </c>
      <c r="D27" s="301">
        <f>Jul20!P27</f>
        <v>0</v>
      </c>
      <c r="E27" s="326"/>
      <c r="F27" s="62"/>
      <c r="G27" s="27"/>
      <c r="H27" s="28"/>
      <c r="I27" s="25"/>
      <c r="J27" s="26"/>
      <c r="K27" s="27"/>
      <c r="L27" s="28"/>
      <c r="M27" s="27"/>
      <c r="N27" s="26"/>
      <c r="O27" s="299">
        <f>C27+E27+G27+I27+K27+M27-D27-F27-H27-J27-L27-N27</f>
        <v>0</v>
      </c>
      <c r="P27" s="62"/>
    </row>
    <row r="28" spans="1:16" s="29" customFormat="1" ht="12.75">
      <c r="A28" s="49" t="s">
        <v>315</v>
      </c>
      <c r="B28" s="506" t="s">
        <v>110</v>
      </c>
      <c r="C28" s="513">
        <f>Jul20!O28</f>
        <v>0</v>
      </c>
      <c r="D28" s="301">
        <f>Jul20!P28</f>
        <v>0</v>
      </c>
      <c r="E28" s="326"/>
      <c r="F28" s="62"/>
      <c r="G28" s="27"/>
      <c r="H28" s="28"/>
      <c r="I28" s="25"/>
      <c r="J28" s="26"/>
      <c r="K28" s="27"/>
      <c r="L28" s="28"/>
      <c r="M28" s="27"/>
      <c r="N28" s="26"/>
      <c r="O28" s="299">
        <f>C28+E28+I28+M28-D28-F28-J28-N28+G28-H28+K28-L28</f>
        <v>0</v>
      </c>
      <c r="P28" s="62"/>
    </row>
    <row r="29" spans="1:16" s="29" customFormat="1" ht="12.75">
      <c r="A29" s="49" t="s">
        <v>213</v>
      </c>
      <c r="B29" s="506" t="s">
        <v>209</v>
      </c>
      <c r="C29" s="513">
        <f>Jul20!O29</f>
        <v>-1.8189894035458565E-12</v>
      </c>
      <c r="D29" s="301">
        <f>Jul20!P29</f>
        <v>0</v>
      </c>
      <c r="E29" s="326">
        <v>50000</v>
      </c>
      <c r="F29" s="62">
        <v>50000</v>
      </c>
      <c r="G29" s="27"/>
      <c r="H29" s="28"/>
      <c r="I29" s="25"/>
      <c r="J29" s="26"/>
      <c r="K29" s="27"/>
      <c r="L29" s="28"/>
      <c r="M29" s="27"/>
      <c r="N29" s="26"/>
      <c r="O29" s="299">
        <f>C29+E29+I29+M29-D29-F29-J29-N29+G29-H29+K29-L29</f>
        <v>0</v>
      </c>
      <c r="P29" s="62"/>
    </row>
    <row r="30" spans="1:16" s="29" customFormat="1" ht="12.75">
      <c r="A30" s="49" t="s">
        <v>201</v>
      </c>
      <c r="B30" s="506" t="s">
        <v>200</v>
      </c>
      <c r="C30" s="513">
        <f>Jul20!O30</f>
        <v>0</v>
      </c>
      <c r="D30" s="301">
        <f>Jul20!P30</f>
        <v>0</v>
      </c>
      <c r="E30" s="326"/>
      <c r="F30" s="62"/>
      <c r="G30" s="27"/>
      <c r="H30" s="28"/>
      <c r="I30" s="25"/>
      <c r="J30" s="26"/>
      <c r="K30" s="27"/>
      <c r="L30" s="28"/>
      <c r="M30" s="27"/>
      <c r="N30" s="26"/>
      <c r="O30" s="299">
        <f>C30+E30+G30+I30+K30+M30-D30-F30-H30-J30-L30-N30</f>
        <v>0</v>
      </c>
      <c r="P30" s="62"/>
    </row>
    <row r="31" spans="1:16" s="29" customFormat="1" ht="12.75">
      <c r="A31" s="49" t="s">
        <v>202</v>
      </c>
      <c r="B31" s="506" t="s">
        <v>203</v>
      </c>
      <c r="C31" s="513">
        <f>Jul20!O31</f>
        <v>0</v>
      </c>
      <c r="D31" s="301">
        <f>Jul20!P31</f>
        <v>0</v>
      </c>
      <c r="E31" s="326"/>
      <c r="F31" s="62"/>
      <c r="G31" s="27"/>
      <c r="H31" s="28"/>
      <c r="I31" s="25"/>
      <c r="J31" s="26"/>
      <c r="K31" s="27"/>
      <c r="L31" s="28"/>
      <c r="M31" s="27"/>
      <c r="N31" s="26"/>
      <c r="O31" s="299">
        <f>C31+E31+I31+M31-D31-F31-J31-N31+G31-H31+K31-L31</f>
        <v>0</v>
      </c>
      <c r="P31" s="62"/>
    </row>
    <row r="32" spans="1:16" s="29" customFormat="1" ht="12.75">
      <c r="A32" s="49" t="s">
        <v>727</v>
      </c>
      <c r="B32" s="506" t="s">
        <v>728</v>
      </c>
      <c r="C32" s="513">
        <f>Jul20!O32</f>
        <v>15116938.08</v>
      </c>
      <c r="D32" s="301">
        <f>Jul20!P32</f>
        <v>0</v>
      </c>
      <c r="E32" s="326"/>
      <c r="F32" s="62"/>
      <c r="G32" s="27"/>
      <c r="H32" s="28"/>
      <c r="I32" s="25"/>
      <c r="J32" s="26"/>
      <c r="K32" s="27"/>
      <c r="L32" s="28"/>
      <c r="M32" s="27"/>
      <c r="N32" s="26"/>
      <c r="O32" s="299">
        <f>C32+E32+G32+I32+K32+M32-D32-F32-H32-J32-L32-N32</f>
        <v>15116938.08</v>
      </c>
      <c r="P32" s="62"/>
    </row>
    <row r="33" spans="1:16" s="29" customFormat="1" ht="12.75">
      <c r="A33" s="49" t="s">
        <v>12</v>
      </c>
      <c r="B33" s="506" t="s">
        <v>111</v>
      </c>
      <c r="C33" s="513">
        <f>Jul20!O33</f>
        <v>1208049.99</v>
      </c>
      <c r="D33" s="301">
        <f>Jul20!P33</f>
        <v>0</v>
      </c>
      <c r="E33" s="326"/>
      <c r="F33" s="62"/>
      <c r="G33" s="27"/>
      <c r="H33" s="28"/>
      <c r="I33" s="25"/>
      <c r="J33" s="26"/>
      <c r="K33" s="27"/>
      <c r="L33" s="28"/>
      <c r="M33" s="27"/>
      <c r="N33" s="26"/>
      <c r="O33" s="299">
        <f>C33+E33+I33+M33-D33-F33-J33-N33+G33-H33+K33-L33</f>
        <v>1208049.99</v>
      </c>
      <c r="P33" s="62"/>
    </row>
    <row r="34" spans="1:16" s="29" customFormat="1" ht="12.75">
      <c r="A34" s="49" t="s">
        <v>120</v>
      </c>
      <c r="B34" s="506" t="s">
        <v>112</v>
      </c>
      <c r="C34" s="513">
        <f>Jul20!O34</f>
        <v>0</v>
      </c>
      <c r="D34" s="301">
        <f>Jul20!P34</f>
        <v>364327.7</v>
      </c>
      <c r="E34" s="326"/>
      <c r="F34" s="62"/>
      <c r="G34" s="27"/>
      <c r="H34" s="28"/>
      <c r="I34" s="25"/>
      <c r="J34" s="26"/>
      <c r="K34" s="27"/>
      <c r="L34" s="28"/>
      <c r="M34" s="27"/>
      <c r="N34" s="26"/>
      <c r="O34" s="299"/>
      <c r="P34" s="62">
        <f>D34+F34+H34+J34+L34+N34-C34-E34-G34-I34-K34-M34</f>
        <v>364327.7</v>
      </c>
    </row>
    <row r="35" spans="1:16" s="29" customFormat="1" ht="12.75">
      <c r="A35" s="49" t="s">
        <v>114</v>
      </c>
      <c r="B35" s="506" t="s">
        <v>113</v>
      </c>
      <c r="C35" s="513">
        <f>Jul20!O35</f>
        <v>718378</v>
      </c>
      <c r="D35" s="301">
        <f>Jul20!P35</f>
        <v>0</v>
      </c>
      <c r="E35" s="326">
        <v>437500</v>
      </c>
      <c r="F35" s="62"/>
      <c r="G35" s="27"/>
      <c r="H35" s="28"/>
      <c r="I35" s="25"/>
      <c r="J35" s="26"/>
      <c r="K35" s="27"/>
      <c r="L35" s="28"/>
      <c r="M35" s="27"/>
      <c r="N35" s="26"/>
      <c r="O35" s="299">
        <f>C35+E35+I35+M35-D35-F35-J35-N35+G35-H35+K35-L35</f>
        <v>1155878</v>
      </c>
      <c r="P35" s="62" t="s">
        <v>729</v>
      </c>
    </row>
    <row r="36" spans="1:16" s="29" customFormat="1" ht="12.75" customHeight="1">
      <c r="A36" s="49" t="s">
        <v>115</v>
      </c>
      <c r="B36" s="506" t="s">
        <v>121</v>
      </c>
      <c r="C36" s="513">
        <f>Jul20!O36</f>
        <v>0</v>
      </c>
      <c r="D36" s="301">
        <f>Jul20!P36</f>
        <v>422310.89</v>
      </c>
      <c r="E36" s="326"/>
      <c r="F36" s="62"/>
      <c r="G36" s="27"/>
      <c r="H36" s="28"/>
      <c r="I36" s="25"/>
      <c r="J36" s="26"/>
      <c r="K36" s="27"/>
      <c r="L36" s="28"/>
      <c r="M36" s="27"/>
      <c r="N36" s="26"/>
      <c r="O36" s="299"/>
      <c r="P36" s="62">
        <f>D36+F36+H36+J36+L36+N36-C36-E36-G36-I36-K36-M36</f>
        <v>422310.89</v>
      </c>
    </row>
    <row r="37" spans="1:16" s="29" customFormat="1" ht="12.75" customHeight="1">
      <c r="A37" s="49" t="s">
        <v>780</v>
      </c>
      <c r="B37" s="262" t="s">
        <v>778</v>
      </c>
      <c r="C37" s="513">
        <f>Jul20!O37</f>
        <v>41302850</v>
      </c>
      <c r="D37" s="301">
        <f>Jul20!P37</f>
        <v>0</v>
      </c>
      <c r="E37" s="326">
        <v>561969</v>
      </c>
      <c r="F37" s="62"/>
      <c r="G37" s="27"/>
      <c r="H37" s="28"/>
      <c r="I37" s="25"/>
      <c r="J37" s="26"/>
      <c r="K37" s="27"/>
      <c r="L37" s="28"/>
      <c r="M37" s="27"/>
      <c r="N37" s="26"/>
      <c r="O37" s="299">
        <f>C37+E37+I37+M37-D37-F37-J37-N37+G37-H37+K37-L37</f>
        <v>41864819</v>
      </c>
      <c r="P37" s="62"/>
    </row>
    <row r="38" spans="1:16" s="29" customFormat="1" ht="12.75" customHeight="1">
      <c r="A38" s="49" t="s">
        <v>781</v>
      </c>
      <c r="B38" s="262" t="s">
        <v>779</v>
      </c>
      <c r="C38" s="513">
        <f>Jul20!O38</f>
        <v>0</v>
      </c>
      <c r="D38" s="301">
        <f>Jul20!P38</f>
        <v>213360.76</v>
      </c>
      <c r="E38" s="326"/>
      <c r="F38" s="62"/>
      <c r="G38" s="27"/>
      <c r="H38" s="28"/>
      <c r="I38" s="25"/>
      <c r="J38" s="26"/>
      <c r="K38" s="27"/>
      <c r="L38" s="28"/>
      <c r="M38" s="27"/>
      <c r="N38" s="26">
        <v>109602.53</v>
      </c>
      <c r="O38" s="299"/>
      <c r="P38" s="62">
        <f>D38+F38+H38+J38+L38+N38-C38-E38-G38-I38-K38-M38</f>
        <v>322963.29000000004</v>
      </c>
    </row>
    <row r="39" spans="1:16" s="29" customFormat="1" ht="12.75" customHeight="1">
      <c r="A39" s="49" t="s">
        <v>782</v>
      </c>
      <c r="B39" s="262" t="s">
        <v>783</v>
      </c>
      <c r="C39" s="513">
        <f>Jul20!O39</f>
        <v>0</v>
      </c>
      <c r="D39" s="301">
        <f>Jul20!P39</f>
        <v>0</v>
      </c>
      <c r="E39" s="326"/>
      <c r="F39" s="62"/>
      <c r="G39" s="27"/>
      <c r="H39" s="28"/>
      <c r="I39" s="25"/>
      <c r="J39" s="26"/>
      <c r="K39" s="27"/>
      <c r="L39" s="28"/>
      <c r="M39" s="27"/>
      <c r="N39" s="26"/>
      <c r="O39" s="299">
        <f>C39+E39+I39+M39-D39-F39-J39-N39+G39-H39+K39-L39</f>
        <v>0</v>
      </c>
      <c r="P39" s="62"/>
    </row>
    <row r="40" spans="1:16" s="29" customFormat="1" ht="12.75" customHeight="1">
      <c r="A40" s="49" t="s">
        <v>784</v>
      </c>
      <c r="B40" s="262" t="s">
        <v>785</v>
      </c>
      <c r="C40" s="513">
        <f>Jul20!O40</f>
        <v>0</v>
      </c>
      <c r="D40" s="301">
        <f>Jul20!P40</f>
        <v>0</v>
      </c>
      <c r="E40" s="326"/>
      <c r="F40" s="62"/>
      <c r="G40" s="27"/>
      <c r="H40" s="28"/>
      <c r="I40" s="25"/>
      <c r="J40" s="26"/>
      <c r="K40" s="27"/>
      <c r="L40" s="28"/>
      <c r="M40" s="27"/>
      <c r="N40" s="26"/>
      <c r="O40" s="299"/>
      <c r="P40" s="62">
        <f>D40+F40+H40+J40+L40+N40-C40-E40-G40-I40-K40-M40</f>
        <v>0</v>
      </c>
    </row>
    <row r="41" spans="1:16" s="29" customFormat="1" ht="12.75" customHeight="1">
      <c r="A41" s="49" t="s">
        <v>786</v>
      </c>
      <c r="B41" s="262" t="s">
        <v>788</v>
      </c>
      <c r="C41" s="513"/>
      <c r="D41" s="301"/>
      <c r="E41" s="326"/>
      <c r="F41" s="62"/>
      <c r="G41" s="27"/>
      <c r="H41" s="28"/>
      <c r="I41" s="25"/>
      <c r="J41" s="26"/>
      <c r="K41" s="27"/>
      <c r="L41" s="28"/>
      <c r="M41" s="27"/>
      <c r="N41" s="26"/>
      <c r="O41" s="299"/>
      <c r="P41" s="62"/>
    </row>
    <row r="42" spans="1:16" s="29" customFormat="1" ht="12.75" customHeight="1">
      <c r="A42" s="49" t="s">
        <v>787</v>
      </c>
      <c r="B42" s="262" t="s">
        <v>789</v>
      </c>
      <c r="C42" s="513"/>
      <c r="D42" s="301"/>
      <c r="E42" s="326"/>
      <c r="F42" s="62"/>
      <c r="G42" s="27"/>
      <c r="H42" s="28"/>
      <c r="I42" s="25"/>
      <c r="J42" s="26"/>
      <c r="K42" s="27"/>
      <c r="L42" s="28"/>
      <c r="M42" s="27"/>
      <c r="N42" s="26"/>
      <c r="O42" s="299"/>
      <c r="P42" s="62"/>
    </row>
    <row r="43" spans="1:16" s="29" customFormat="1" ht="12.75" customHeight="1">
      <c r="A43" s="49" t="s">
        <v>530</v>
      </c>
      <c r="B43" s="506" t="s">
        <v>533</v>
      </c>
      <c r="C43" s="513">
        <f>Jul20!O43</f>
        <v>40622</v>
      </c>
      <c r="D43" s="301">
        <f>Jul20!P43</f>
        <v>0</v>
      </c>
      <c r="E43" s="326"/>
      <c r="F43" s="62"/>
      <c r="G43" s="27"/>
      <c r="H43" s="28"/>
      <c r="I43" s="25"/>
      <c r="J43" s="26"/>
      <c r="K43" s="27"/>
      <c r="L43" s="28"/>
      <c r="M43" s="27"/>
      <c r="N43" s="26"/>
      <c r="O43" s="299">
        <f>C43+E43+I43+M43-D43-F43-J43-N43+G43-H43+K43-L43</f>
        <v>40622</v>
      </c>
      <c r="P43" s="62"/>
    </row>
    <row r="44" spans="1:16" s="29" customFormat="1" ht="12.75" customHeight="1">
      <c r="A44" s="49" t="s">
        <v>531</v>
      </c>
      <c r="B44" s="506" t="s">
        <v>532</v>
      </c>
      <c r="C44" s="513">
        <f>Jul20!O44</f>
        <v>0</v>
      </c>
      <c r="D44" s="301">
        <f>Jul20!P44</f>
        <v>9647.73</v>
      </c>
      <c r="E44" s="326"/>
      <c r="F44" s="62"/>
      <c r="G44" s="27"/>
      <c r="H44" s="28"/>
      <c r="I44" s="25"/>
      <c r="J44" s="26"/>
      <c r="K44" s="27"/>
      <c r="L44" s="28"/>
      <c r="M44" s="27"/>
      <c r="N44" s="26"/>
      <c r="O44" s="299"/>
      <c r="P44" s="62">
        <f>D44+F44+H44+J44+L44+N44-C44-E44-G44-I44-K44-M44</f>
        <v>9647.73</v>
      </c>
    </row>
    <row r="45" spans="1:16" s="29" customFormat="1" ht="12.75">
      <c r="A45" s="49" t="s">
        <v>128</v>
      </c>
      <c r="B45" s="506" t="s">
        <v>130</v>
      </c>
      <c r="C45" s="513">
        <f>Jul20!O45</f>
        <v>545970</v>
      </c>
      <c r="D45" s="301">
        <f>Jul20!P45</f>
        <v>0</v>
      </c>
      <c r="E45" s="326"/>
      <c r="F45" s="62"/>
      <c r="G45" s="27"/>
      <c r="H45" s="28"/>
      <c r="I45" s="25"/>
      <c r="J45" s="26"/>
      <c r="K45" s="27"/>
      <c r="L45" s="28"/>
      <c r="M45" s="27"/>
      <c r="N45" s="26"/>
      <c r="O45" s="299">
        <f>C45+E45+I45+M45-D45-F45-J45-N45+G45-H45+K45-L45</f>
        <v>545970</v>
      </c>
      <c r="P45" s="62"/>
    </row>
    <row r="46" spans="1:16" s="29" customFormat="1" ht="12.75">
      <c r="A46" s="49" t="s">
        <v>129</v>
      </c>
      <c r="B46" s="506" t="s">
        <v>131</v>
      </c>
      <c r="C46" s="513">
        <f>Jul20!O46</f>
        <v>0</v>
      </c>
      <c r="D46" s="301">
        <f>Jul20!P46</f>
        <v>370243.56</v>
      </c>
      <c r="E46" s="326"/>
      <c r="F46" s="62"/>
      <c r="G46" s="27"/>
      <c r="H46" s="28"/>
      <c r="I46" s="25"/>
      <c r="J46" s="26"/>
      <c r="K46" s="27"/>
      <c r="L46" s="28"/>
      <c r="M46" s="27"/>
      <c r="N46" s="26"/>
      <c r="O46" s="299"/>
      <c r="P46" s="62">
        <f>D46+F46+H46+J46+L46+N46-C46-E46-G46-I46-K46-M46</f>
        <v>370243.56</v>
      </c>
    </row>
    <row r="47" spans="1:16" s="29" customFormat="1" ht="12.75">
      <c r="A47" s="49" t="s">
        <v>41</v>
      </c>
      <c r="B47" s="506" t="s">
        <v>126</v>
      </c>
      <c r="C47" s="513">
        <f>Jul20!O47</f>
        <v>2391000</v>
      </c>
      <c r="D47" s="301">
        <f>Jul20!P47</f>
        <v>0</v>
      </c>
      <c r="E47" s="326"/>
      <c r="F47" s="62"/>
      <c r="G47" s="27"/>
      <c r="H47" s="28"/>
      <c r="I47" s="25"/>
      <c r="J47" s="26"/>
      <c r="K47" s="27"/>
      <c r="L47" s="28"/>
      <c r="M47" s="27"/>
      <c r="N47" s="26"/>
      <c r="O47" s="299">
        <f>C47+E47+I47+M47-D47-F47-J47-N47+G47-H47+K47-L47</f>
        <v>2391000</v>
      </c>
      <c r="P47" s="62"/>
    </row>
    <row r="48" spans="1:16" s="29" customFormat="1" ht="12.75">
      <c r="A48" s="49" t="s">
        <v>42</v>
      </c>
      <c r="B48" s="506" t="s">
        <v>127</v>
      </c>
      <c r="C48" s="513">
        <f>Jul20!O48</f>
        <v>0</v>
      </c>
      <c r="D48" s="301">
        <f>Jul20!P48</f>
        <v>854100</v>
      </c>
      <c r="E48" s="326"/>
      <c r="F48" s="62"/>
      <c r="G48" s="27"/>
      <c r="H48" s="28"/>
      <c r="I48" s="25"/>
      <c r="J48" s="26"/>
      <c r="K48" s="27"/>
      <c r="L48" s="28"/>
      <c r="M48" s="27"/>
      <c r="N48" s="26"/>
      <c r="O48" s="299"/>
      <c r="P48" s="62">
        <f>D48+F48+H48+J48+L48+N48-C48-E48-G48-I48-K48-M48</f>
        <v>854100</v>
      </c>
    </row>
    <row r="49" spans="1:16" s="29" customFormat="1" ht="12.75">
      <c r="A49" s="49" t="s">
        <v>13</v>
      </c>
      <c r="B49" s="506" t="s">
        <v>118</v>
      </c>
      <c r="C49" s="513">
        <f>Jul20!O49</f>
        <v>631727.2</v>
      </c>
      <c r="D49" s="301">
        <f>Jul20!P49</f>
        <v>0</v>
      </c>
      <c r="E49" s="326"/>
      <c r="F49" s="62"/>
      <c r="G49" s="27"/>
      <c r="H49" s="28"/>
      <c r="I49" s="25"/>
      <c r="J49" s="26"/>
      <c r="K49" s="27"/>
      <c r="L49" s="28"/>
      <c r="M49" s="27"/>
      <c r="N49" s="26"/>
      <c r="O49" s="299">
        <f>C49+E49+I49+M49-D49-F49-J49-N49+G49-H49+K49-L49</f>
        <v>631727.2</v>
      </c>
      <c r="P49" s="62"/>
    </row>
    <row r="50" spans="1:16" s="29" customFormat="1" ht="12.75">
      <c r="A50" s="49" t="s">
        <v>14</v>
      </c>
      <c r="B50" s="506" t="s">
        <v>119</v>
      </c>
      <c r="C50" s="513">
        <f>Jul20!O50</f>
        <v>0</v>
      </c>
      <c r="D50" s="301">
        <f>Jul20!P50</f>
        <v>319092.84</v>
      </c>
      <c r="E50" s="326"/>
      <c r="F50" s="62"/>
      <c r="G50" s="27"/>
      <c r="H50" s="28"/>
      <c r="I50" s="25"/>
      <c r="J50" s="26"/>
      <c r="K50" s="27"/>
      <c r="L50" s="28"/>
      <c r="M50" s="27"/>
      <c r="N50" s="26"/>
      <c r="O50" s="299"/>
      <c r="P50" s="62">
        <f>D50+F50+H50+J50+L50+N50-C50-E50-G50-I50-K50-M50</f>
        <v>319092.84</v>
      </c>
    </row>
    <row r="51" spans="1:17" s="29" customFormat="1" ht="12.75">
      <c r="A51" s="49" t="s">
        <v>680</v>
      </c>
      <c r="B51" s="506" t="s">
        <v>681</v>
      </c>
      <c r="C51" s="513">
        <f>Jul20!O51</f>
        <v>0</v>
      </c>
      <c r="D51" s="301">
        <f>Jul20!P51</f>
        <v>0</v>
      </c>
      <c r="E51" s="326"/>
      <c r="F51" s="62"/>
      <c r="G51" s="27"/>
      <c r="H51" s="28"/>
      <c r="I51" s="25"/>
      <c r="J51" s="26"/>
      <c r="K51" s="27"/>
      <c r="L51" s="28"/>
      <c r="M51" s="27"/>
      <c r="N51" s="26"/>
      <c r="O51" s="299">
        <f>C51+E51+I51+M51-D51-F51-J51-N51+G51-H51+K51-L51</f>
        <v>0</v>
      </c>
      <c r="P51" s="62"/>
      <c r="Q51" s="55"/>
    </row>
    <row r="52" spans="1:17" s="29" customFormat="1" ht="12.75" customHeight="1">
      <c r="A52" s="49" t="s">
        <v>683</v>
      </c>
      <c r="B52" s="506" t="s">
        <v>682</v>
      </c>
      <c r="C52" s="513">
        <f>Jul20!O52</f>
        <v>0</v>
      </c>
      <c r="D52" s="301">
        <f>Jul20!P52</f>
        <v>0</v>
      </c>
      <c r="E52" s="326"/>
      <c r="F52" s="62"/>
      <c r="G52" s="27"/>
      <c r="H52" s="28"/>
      <c r="I52" s="25"/>
      <c r="J52" s="26"/>
      <c r="K52" s="27"/>
      <c r="L52" s="28"/>
      <c r="M52" s="27"/>
      <c r="N52" s="26"/>
      <c r="O52" s="299"/>
      <c r="P52" s="62">
        <f>D52+F52+H52+J52+L52+N52-C52-E52-G52-I52-K52-M52</f>
        <v>0</v>
      </c>
      <c r="Q52" s="55"/>
    </row>
    <row r="53" spans="1:17" s="29" customFormat="1" ht="12.75" customHeight="1">
      <c r="A53" s="49" t="s">
        <v>559</v>
      </c>
      <c r="B53" s="506" t="s">
        <v>558</v>
      </c>
      <c r="C53" s="513">
        <f>Jul20!O53</f>
        <v>0</v>
      </c>
      <c r="D53" s="301">
        <f>Jul20!P53</f>
        <v>0</v>
      </c>
      <c r="E53" s="326"/>
      <c r="F53" s="62"/>
      <c r="G53" s="27"/>
      <c r="H53" s="28"/>
      <c r="I53" s="25"/>
      <c r="J53" s="26"/>
      <c r="K53" s="27"/>
      <c r="L53" s="28"/>
      <c r="M53" s="27"/>
      <c r="N53" s="26"/>
      <c r="O53" s="299">
        <f>C53+E53+I53+M53-D53-F53-J53-N53+G53-H53+K53-L53</f>
        <v>0</v>
      </c>
      <c r="P53" s="62"/>
      <c r="Q53" s="55"/>
    </row>
    <row r="54" spans="1:16" s="29" customFormat="1" ht="12.75">
      <c r="A54" s="54" t="s">
        <v>15</v>
      </c>
      <c r="B54" s="506" t="s">
        <v>132</v>
      </c>
      <c r="C54" s="513">
        <f>Jul20!O54</f>
        <v>327763.39</v>
      </c>
      <c r="D54" s="301">
        <f>Jul20!P54</f>
        <v>0</v>
      </c>
      <c r="E54" s="326"/>
      <c r="F54" s="62"/>
      <c r="G54" s="27"/>
      <c r="H54" s="28"/>
      <c r="I54" s="25"/>
      <c r="J54" s="26"/>
      <c r="K54" s="27"/>
      <c r="L54" s="28"/>
      <c r="M54" s="27"/>
      <c r="N54" s="26"/>
      <c r="O54" s="299">
        <f>C54+E54+I54+M54-D54-F54-J54-N54+G54-H54+K54-L54</f>
        <v>327763.39</v>
      </c>
      <c r="P54" s="62"/>
    </row>
    <row r="55" spans="1:16" s="29" customFormat="1" ht="12.75">
      <c r="A55" s="8"/>
      <c r="B55" s="508"/>
      <c r="C55" s="513">
        <f>Jul20!O55</f>
        <v>0</v>
      </c>
      <c r="D55" s="301">
        <f>Jul20!P55</f>
        <v>0</v>
      </c>
      <c r="E55" s="326"/>
      <c r="F55" s="62"/>
      <c r="G55" s="27"/>
      <c r="H55" s="28"/>
      <c r="I55" s="25"/>
      <c r="J55" s="26"/>
      <c r="K55" s="27"/>
      <c r="L55" s="28"/>
      <c r="M55" s="27"/>
      <c r="N55" s="26"/>
      <c r="O55" s="299"/>
      <c r="P55" s="62">
        <f aca="true" t="shared" si="0" ref="P55:P62">D55+F55+H55+J55+L55+N55-C55-E55-G55-I55-K55-M55</f>
        <v>0</v>
      </c>
    </row>
    <row r="56" spans="1:17" s="29" customFormat="1" ht="12.75">
      <c r="A56" s="7" t="s">
        <v>16</v>
      </c>
      <c r="B56" s="508"/>
      <c r="C56" s="513">
        <f>Jul20!O56</f>
        <v>0</v>
      </c>
      <c r="D56" s="301">
        <f>Jul20!P56</f>
        <v>0</v>
      </c>
      <c r="E56" s="326"/>
      <c r="F56" s="62"/>
      <c r="G56" s="27"/>
      <c r="H56" s="28"/>
      <c r="I56" s="25"/>
      <c r="J56" s="26"/>
      <c r="K56" s="27"/>
      <c r="L56" s="28"/>
      <c r="M56" s="27"/>
      <c r="N56" s="27"/>
      <c r="O56" s="299"/>
      <c r="P56" s="62">
        <f t="shared" si="0"/>
        <v>0</v>
      </c>
      <c r="Q56" s="55"/>
    </row>
    <row r="57" spans="1:17" s="29" customFormat="1" ht="12.75">
      <c r="A57" s="49" t="s">
        <v>31</v>
      </c>
      <c r="B57" s="506" t="s">
        <v>133</v>
      </c>
      <c r="C57" s="513">
        <f>Jul20!O57</f>
        <v>0</v>
      </c>
      <c r="D57" s="301">
        <f>Jul20!P57</f>
        <v>35250</v>
      </c>
      <c r="E57" s="326"/>
      <c r="F57" s="62"/>
      <c r="G57" s="27"/>
      <c r="H57" s="28"/>
      <c r="I57" s="25"/>
      <c r="J57" s="26"/>
      <c r="K57" s="27"/>
      <c r="L57" s="28"/>
      <c r="M57" s="27"/>
      <c r="N57" s="26"/>
      <c r="O57" s="299"/>
      <c r="P57" s="62">
        <f t="shared" si="0"/>
        <v>35250</v>
      </c>
      <c r="Q57" s="55"/>
    </row>
    <row r="58" spans="1:17" s="29" customFormat="1" ht="12.75">
      <c r="A58" s="49" t="s">
        <v>46</v>
      </c>
      <c r="B58" s="506" t="s">
        <v>134</v>
      </c>
      <c r="C58" s="513">
        <f>Jul20!O58</f>
        <v>0</v>
      </c>
      <c r="D58" s="301">
        <f>Jul20!P58</f>
        <v>217688.20999999996</v>
      </c>
      <c r="E58" s="326"/>
      <c r="F58" s="62">
        <v>212632.63</v>
      </c>
      <c r="G58" s="27"/>
      <c r="H58" s="28"/>
      <c r="I58" s="25"/>
      <c r="J58" s="26"/>
      <c r="K58" s="27"/>
      <c r="L58" s="28"/>
      <c r="M58" s="27">
        <v>217688.21</v>
      </c>
      <c r="N58" s="26"/>
      <c r="O58" s="299"/>
      <c r="P58" s="62">
        <f t="shared" si="0"/>
        <v>212632.62999999998</v>
      </c>
      <c r="Q58" s="55"/>
    </row>
    <row r="59" spans="1:16" s="29" customFormat="1" ht="12.75">
      <c r="A59" s="74" t="s">
        <v>685</v>
      </c>
      <c r="B59" s="507" t="s">
        <v>684</v>
      </c>
      <c r="C59" s="513">
        <f>Jul20!O59</f>
        <v>0</v>
      </c>
      <c r="D59" s="301">
        <f>Jul20!P59</f>
        <v>653387.1900000003</v>
      </c>
      <c r="E59" s="326">
        <v>88338.42</v>
      </c>
      <c r="F59" s="62">
        <v>99825.48</v>
      </c>
      <c r="G59" s="27"/>
      <c r="H59" s="28"/>
      <c r="I59" s="25"/>
      <c r="J59" s="26"/>
      <c r="K59" s="27"/>
      <c r="L59" s="28"/>
      <c r="M59" s="27"/>
      <c r="N59" s="27"/>
      <c r="O59" s="299"/>
      <c r="P59" s="62">
        <f t="shared" si="0"/>
        <v>664874.2500000002</v>
      </c>
    </row>
    <row r="60" spans="1:17" s="29" customFormat="1" ht="12.75">
      <c r="A60" s="74" t="s">
        <v>686</v>
      </c>
      <c r="B60" s="507" t="s">
        <v>688</v>
      </c>
      <c r="C60" s="513">
        <f>Jul20!O60</f>
        <v>0</v>
      </c>
      <c r="D60" s="301">
        <f>Jul20!P60</f>
        <v>10448.25999999998</v>
      </c>
      <c r="E60" s="326"/>
      <c r="F60" s="62">
        <v>138304.09</v>
      </c>
      <c r="G60" s="27"/>
      <c r="H60" s="28"/>
      <c r="I60" s="25"/>
      <c r="J60" s="26"/>
      <c r="K60" s="27"/>
      <c r="L60" s="28"/>
      <c r="M60" s="27"/>
      <c r="N60" s="26"/>
      <c r="O60" s="299"/>
      <c r="P60" s="62">
        <f t="shared" si="0"/>
        <v>148752.34999999998</v>
      </c>
      <c r="Q60" s="55"/>
    </row>
    <row r="61" spans="1:16" s="29" customFormat="1" ht="12.75">
      <c r="A61" s="74" t="s">
        <v>687</v>
      </c>
      <c r="B61" s="507" t="s">
        <v>689</v>
      </c>
      <c r="C61" s="513">
        <f>Jul20!O61</f>
        <v>0</v>
      </c>
      <c r="D61" s="301">
        <f>Jul20!P61</f>
        <v>11777.859999999997</v>
      </c>
      <c r="E61" s="326"/>
      <c r="F61" s="62">
        <v>1150</v>
      </c>
      <c r="G61" s="27"/>
      <c r="H61" s="28"/>
      <c r="I61" s="25"/>
      <c r="J61" s="26"/>
      <c r="K61" s="27"/>
      <c r="L61" s="28"/>
      <c r="M61" s="27"/>
      <c r="N61" s="26"/>
      <c r="O61" s="299"/>
      <c r="P61" s="62">
        <f t="shared" si="0"/>
        <v>12927.859999999997</v>
      </c>
    </row>
    <row r="62" spans="1:16" s="29" customFormat="1" ht="12.75">
      <c r="A62" s="49" t="s">
        <v>690</v>
      </c>
      <c r="B62" s="506" t="s">
        <v>692</v>
      </c>
      <c r="C62" s="513">
        <f>Jul20!O62</f>
        <v>0</v>
      </c>
      <c r="D62" s="301">
        <f>Jul20!P62</f>
        <v>8611.039999999999</v>
      </c>
      <c r="E62" s="326">
        <v>3084.68</v>
      </c>
      <c r="F62" s="62">
        <v>3084.68</v>
      </c>
      <c r="G62" s="27"/>
      <c r="H62" s="28"/>
      <c r="I62" s="25"/>
      <c r="J62" s="26"/>
      <c r="K62" s="27"/>
      <c r="L62" s="28"/>
      <c r="M62" s="27"/>
      <c r="N62" s="26"/>
      <c r="O62" s="299"/>
      <c r="P62" s="62">
        <f t="shared" si="0"/>
        <v>8611.039999999999</v>
      </c>
    </row>
    <row r="63" spans="1:17" s="29" customFormat="1" ht="12.75">
      <c r="A63" s="49" t="s">
        <v>691</v>
      </c>
      <c r="B63" s="506" t="s">
        <v>693</v>
      </c>
      <c r="C63" s="513">
        <f>Jul20!O63</f>
        <v>0</v>
      </c>
      <c r="D63" s="301">
        <f>Jul20!P63</f>
        <v>2493</v>
      </c>
      <c r="E63" s="326">
        <v>408.33</v>
      </c>
      <c r="F63" s="62">
        <v>926.78</v>
      </c>
      <c r="G63" s="27"/>
      <c r="H63" s="28"/>
      <c r="I63" s="25"/>
      <c r="J63" s="26"/>
      <c r="K63" s="27"/>
      <c r="L63" s="28"/>
      <c r="M63" s="27"/>
      <c r="N63" s="26"/>
      <c r="O63" s="299"/>
      <c r="P63" s="62">
        <f>D63+F63+H63+J63+L63+N63-C63-E63-G63-I63-K63-M63</f>
        <v>3011.45</v>
      </c>
      <c r="Q63" s="290"/>
    </row>
    <row r="64" spans="1:17" s="29" customFormat="1" ht="12.75">
      <c r="A64" s="49" t="s">
        <v>47</v>
      </c>
      <c r="B64" s="506" t="s">
        <v>137</v>
      </c>
      <c r="C64" s="513">
        <f>Jul20!O64</f>
        <v>0</v>
      </c>
      <c r="D64" s="301">
        <f>Jul20!P64</f>
        <v>28472.52000000001</v>
      </c>
      <c r="E64" s="326">
        <v>12757.53</v>
      </c>
      <c r="F64" s="62">
        <v>12757.56</v>
      </c>
      <c r="G64" s="27"/>
      <c r="H64" s="28"/>
      <c r="I64" s="25"/>
      <c r="J64" s="26"/>
      <c r="K64" s="27"/>
      <c r="L64" s="28"/>
      <c r="M64" s="27"/>
      <c r="N64" s="26"/>
      <c r="O64" s="299"/>
      <c r="P64" s="62">
        <f>D64+F64+H64+J64+L64+N64-C64-E64-G64-I64-K64-M64</f>
        <v>28472.55000000001</v>
      </c>
      <c r="Q64" s="290"/>
    </row>
    <row r="65" spans="1:17" s="29" customFormat="1" ht="12.75">
      <c r="A65" s="74" t="s">
        <v>59</v>
      </c>
      <c r="B65" s="507" t="s">
        <v>138</v>
      </c>
      <c r="C65" s="513">
        <f>Jul20!O65</f>
        <v>0</v>
      </c>
      <c r="D65" s="301">
        <f>Jul20!P65</f>
        <v>20563.270000000033</v>
      </c>
      <c r="E65" s="326">
        <v>45322.31</v>
      </c>
      <c r="F65" s="62">
        <v>98951.36</v>
      </c>
      <c r="G65" s="27"/>
      <c r="H65" s="28"/>
      <c r="I65" s="25"/>
      <c r="J65" s="26"/>
      <c r="K65" s="27"/>
      <c r="L65" s="28"/>
      <c r="M65" s="27"/>
      <c r="N65" s="26"/>
      <c r="O65" s="299"/>
      <c r="P65" s="62">
        <f>D65+F65+H65+J65+L65+N65-C65-E65-G65-I65-K65-M65</f>
        <v>74192.32000000004</v>
      </c>
      <c r="Q65" s="290"/>
    </row>
    <row r="66" spans="1:17" s="29" customFormat="1" ht="12.75">
      <c r="A66" s="49" t="s">
        <v>17</v>
      </c>
      <c r="B66" s="506" t="s">
        <v>139</v>
      </c>
      <c r="C66" s="513">
        <f>Jul20!O66</f>
        <v>0</v>
      </c>
      <c r="D66" s="301">
        <f>Jul20!P66</f>
        <v>0</v>
      </c>
      <c r="E66" s="326"/>
      <c r="F66" s="62"/>
      <c r="G66" s="27"/>
      <c r="H66" s="28"/>
      <c r="I66" s="25"/>
      <c r="J66" s="26"/>
      <c r="K66" s="27"/>
      <c r="L66" s="28"/>
      <c r="M66" s="27"/>
      <c r="N66" s="26"/>
      <c r="O66" s="299"/>
      <c r="P66" s="62">
        <f>D66+F66+H66+J66+L66+N66-C66-E66-G66-I66-K66-M66</f>
        <v>0</v>
      </c>
      <c r="Q66" s="290"/>
    </row>
    <row r="67" spans="1:17" s="29" customFormat="1" ht="12.75">
      <c r="A67" s="8"/>
      <c r="B67" s="508"/>
      <c r="C67" s="513">
        <f>Jul20!O67</f>
        <v>0</v>
      </c>
      <c r="D67" s="301">
        <f>Jul20!P67</f>
        <v>0</v>
      </c>
      <c r="E67" s="326"/>
      <c r="F67" s="62"/>
      <c r="G67" s="27"/>
      <c r="H67" s="28"/>
      <c r="I67" s="25"/>
      <c r="J67" s="26"/>
      <c r="K67" s="27"/>
      <c r="L67" s="28"/>
      <c r="M67" s="27"/>
      <c r="N67" s="26"/>
      <c r="O67" s="299"/>
      <c r="P67" s="62"/>
      <c r="Q67" s="290"/>
    </row>
    <row r="68" spans="1:17" s="29" customFormat="1" ht="12.75">
      <c r="A68" s="7" t="s">
        <v>32</v>
      </c>
      <c r="B68" s="508"/>
      <c r="C68" s="513">
        <f>Jul20!O68</f>
        <v>0</v>
      </c>
      <c r="D68" s="301">
        <f>Jul20!P68</f>
        <v>0</v>
      </c>
      <c r="E68" s="326"/>
      <c r="F68" s="62"/>
      <c r="G68" s="27"/>
      <c r="H68" s="28"/>
      <c r="I68" s="25"/>
      <c r="J68" s="26"/>
      <c r="K68" s="27"/>
      <c r="L68" s="28"/>
      <c r="M68" s="27"/>
      <c r="N68" s="26"/>
      <c r="O68" s="299"/>
      <c r="P68" s="62"/>
      <c r="Q68" s="290"/>
    </row>
    <row r="69" spans="1:17" s="29" customFormat="1" ht="12.75">
      <c r="A69" s="49" t="s">
        <v>18</v>
      </c>
      <c r="B69" s="506" t="s">
        <v>140</v>
      </c>
      <c r="C69" s="513">
        <f>Jul20!O69</f>
        <v>0</v>
      </c>
      <c r="D69" s="301">
        <f>Jul20!P69</f>
        <v>93682852.88</v>
      </c>
      <c r="E69" s="326"/>
      <c r="F69" s="62"/>
      <c r="G69" s="27"/>
      <c r="H69" s="28"/>
      <c r="I69" s="25"/>
      <c r="J69" s="26"/>
      <c r="K69" s="27"/>
      <c r="L69" s="28"/>
      <c r="M69" s="27"/>
      <c r="N69" s="26"/>
      <c r="O69" s="299"/>
      <c r="P69" s="62">
        <f>D69+F69+H69+J69+L69+N69-C69-E69-G69-I69-K69-M69</f>
        <v>93682852.88</v>
      </c>
      <c r="Q69" s="290"/>
    </row>
    <row r="70" spans="1:17" s="29" customFormat="1" ht="13.5" customHeight="1">
      <c r="A70" s="49" t="s">
        <v>142</v>
      </c>
      <c r="B70" s="508" t="s">
        <v>141</v>
      </c>
      <c r="C70" s="513">
        <f>Jul20!O70</f>
        <v>0</v>
      </c>
      <c r="D70" s="301">
        <f>Jul20!P70</f>
        <v>95625181.27</v>
      </c>
      <c r="E70" s="326"/>
      <c r="F70" s="62"/>
      <c r="G70" s="27"/>
      <c r="H70" s="28"/>
      <c r="I70" s="25"/>
      <c r="J70" s="26"/>
      <c r="K70" s="27"/>
      <c r="L70" s="28"/>
      <c r="M70" s="27"/>
      <c r="N70" s="27">
        <v>217688.21</v>
      </c>
      <c r="O70" s="299"/>
      <c r="P70" s="62">
        <f>D70+F70+H70+J70+L70+N70-C70-E70-G70-I70-K70-M70</f>
        <v>95842869.47999999</v>
      </c>
      <c r="Q70" s="290"/>
    </row>
    <row r="71" spans="1:17" s="29" customFormat="1" ht="13.5" customHeight="1">
      <c r="A71" s="49" t="s">
        <v>673</v>
      </c>
      <c r="B71" s="249" t="s">
        <v>745</v>
      </c>
      <c r="C71" s="513">
        <f>Jul20!O71</f>
        <v>0</v>
      </c>
      <c r="D71" s="301">
        <f>Jul20!P71</f>
        <v>72733013.05000001</v>
      </c>
      <c r="E71" s="326"/>
      <c r="F71" s="62"/>
      <c r="G71" s="27"/>
      <c r="H71" s="28"/>
      <c r="I71" s="25"/>
      <c r="J71" s="26"/>
      <c r="K71" s="27"/>
      <c r="L71" s="28"/>
      <c r="M71" s="27"/>
      <c r="N71" s="25">
        <f>1687889.2+242576.4</f>
        <v>1930465.5999999999</v>
      </c>
      <c r="O71" s="299"/>
      <c r="P71" s="62">
        <f>D71+F71+H71+J71+L71+N71-C71-E71-G71-I71-K71-M71</f>
        <v>74663478.65</v>
      </c>
      <c r="Q71" s="530"/>
    </row>
    <row r="72" spans="1:17" s="29" customFormat="1" ht="12.75" customHeight="1">
      <c r="A72" s="49"/>
      <c r="B72" s="508"/>
      <c r="C72" s="513">
        <f>Jul20!O72</f>
        <v>0</v>
      </c>
      <c r="D72" s="301">
        <f>Jul20!P72</f>
        <v>0</v>
      </c>
      <c r="E72" s="326"/>
      <c r="F72" s="62"/>
      <c r="G72" s="27"/>
      <c r="H72" s="28"/>
      <c r="I72" s="25"/>
      <c r="J72" s="26"/>
      <c r="K72" s="27"/>
      <c r="L72" s="28"/>
      <c r="M72" s="27"/>
      <c r="N72" s="26"/>
      <c r="O72" s="299"/>
      <c r="P72" s="62"/>
      <c r="Q72" s="290"/>
    </row>
    <row r="73" spans="1:17" s="29" customFormat="1" ht="12.75">
      <c r="A73" s="4" t="s">
        <v>19</v>
      </c>
      <c r="B73" s="509"/>
      <c r="C73" s="513">
        <f>Jul20!O73</f>
        <v>0</v>
      </c>
      <c r="D73" s="301">
        <f>Jul20!P73</f>
        <v>0</v>
      </c>
      <c r="E73" s="326"/>
      <c r="F73" s="62"/>
      <c r="G73" s="27"/>
      <c r="H73" s="28"/>
      <c r="I73" s="25"/>
      <c r="J73" s="26"/>
      <c r="K73" s="27"/>
      <c r="L73" s="28"/>
      <c r="M73" s="27"/>
      <c r="N73" s="26"/>
      <c r="O73" s="299"/>
      <c r="P73" s="62"/>
      <c r="Q73" s="290"/>
    </row>
    <row r="74" spans="1:17" s="29" customFormat="1" ht="12.75">
      <c r="A74" s="23" t="s">
        <v>143</v>
      </c>
      <c r="B74" s="250" t="s">
        <v>144</v>
      </c>
      <c r="C74" s="513">
        <f>Jul20!O74</f>
        <v>8790836.84</v>
      </c>
      <c r="D74" s="301">
        <f>Jul20!P74</f>
        <v>0</v>
      </c>
      <c r="E74" s="326">
        <v>1111805.03</v>
      </c>
      <c r="F74" s="62"/>
      <c r="G74" s="27"/>
      <c r="H74" s="28"/>
      <c r="I74" s="25"/>
      <c r="J74" s="26"/>
      <c r="K74" s="27"/>
      <c r="L74" s="28"/>
      <c r="M74" s="27"/>
      <c r="N74" s="26"/>
      <c r="O74" s="299">
        <f aca="true" t="shared" si="1" ref="O74:O85">C74+E74+I74+M74-D74-F74-J74-N74+G74-H74+K74-L74</f>
        <v>9902641.87</v>
      </c>
      <c r="P74" s="62"/>
      <c r="Q74" s="290"/>
    </row>
    <row r="75" spans="1:17" s="29" customFormat="1" ht="12.75">
      <c r="A75" s="23" t="s">
        <v>20</v>
      </c>
      <c r="B75" s="250" t="s">
        <v>145</v>
      </c>
      <c r="C75" s="513">
        <f>Jul20!O75</f>
        <v>299000</v>
      </c>
      <c r="D75" s="301">
        <f>Jul20!P75</f>
        <v>0</v>
      </c>
      <c r="E75" s="326">
        <v>42000</v>
      </c>
      <c r="F75" s="62"/>
      <c r="G75" s="27"/>
      <c r="H75" s="28"/>
      <c r="I75" s="25"/>
      <c r="J75" s="26"/>
      <c r="K75" s="27"/>
      <c r="L75" s="28"/>
      <c r="M75" s="27"/>
      <c r="N75" s="26"/>
      <c r="O75" s="299">
        <f t="shared" si="1"/>
        <v>341000</v>
      </c>
      <c r="P75" s="62"/>
      <c r="Q75" s="290"/>
    </row>
    <row r="76" spans="1:17" s="29" customFormat="1" ht="12.75">
      <c r="A76" s="23" t="s">
        <v>21</v>
      </c>
      <c r="B76" s="250" t="s">
        <v>146</v>
      </c>
      <c r="C76" s="513">
        <f>Jul20!O76</f>
        <v>133000</v>
      </c>
      <c r="D76" s="301">
        <f>Jul20!P76</f>
        <v>0</v>
      </c>
      <c r="E76" s="326">
        <v>19000</v>
      </c>
      <c r="F76" s="62"/>
      <c r="G76" s="27"/>
      <c r="H76" s="28"/>
      <c r="I76" s="25"/>
      <c r="J76" s="26"/>
      <c r="K76" s="27"/>
      <c r="L76" s="28"/>
      <c r="M76" s="27"/>
      <c r="N76" s="26"/>
      <c r="O76" s="299">
        <f t="shared" si="1"/>
        <v>152000</v>
      </c>
      <c r="P76" s="62"/>
      <c r="Q76" s="290"/>
    </row>
    <row r="77" spans="1:17" s="29" customFormat="1" ht="12.75">
      <c r="A77" s="23" t="s">
        <v>22</v>
      </c>
      <c r="B77" s="250" t="s">
        <v>147</v>
      </c>
      <c r="C77" s="513">
        <f>Jul20!O77</f>
        <v>133000</v>
      </c>
      <c r="D77" s="301">
        <f>Jul20!P77</f>
        <v>0</v>
      </c>
      <c r="E77" s="326">
        <v>19000</v>
      </c>
      <c r="F77" s="62"/>
      <c r="G77" s="27"/>
      <c r="H77" s="28"/>
      <c r="I77" s="25"/>
      <c r="J77" s="26"/>
      <c r="K77" s="27"/>
      <c r="L77" s="28"/>
      <c r="M77" s="27"/>
      <c r="N77" s="26"/>
      <c r="O77" s="299">
        <f t="shared" si="1"/>
        <v>152000</v>
      </c>
      <c r="P77" s="62"/>
      <c r="Q77" s="290"/>
    </row>
    <row r="78" spans="1:17" s="29" customFormat="1" ht="12.75">
      <c r="A78" s="23" t="s">
        <v>67</v>
      </c>
      <c r="B78" s="250" t="s">
        <v>527</v>
      </c>
      <c r="C78" s="513">
        <f>Jul20!O78</f>
        <v>408000</v>
      </c>
      <c r="D78" s="301">
        <f>Jul20!P78</f>
        <v>0</v>
      </c>
      <c r="E78" s="326"/>
      <c r="F78" s="62"/>
      <c r="G78" s="27"/>
      <c r="H78" s="28"/>
      <c r="I78" s="25"/>
      <c r="J78" s="26"/>
      <c r="K78" s="27"/>
      <c r="L78" s="28"/>
      <c r="M78" s="27"/>
      <c r="N78" s="26"/>
      <c r="O78" s="299">
        <f t="shared" si="1"/>
        <v>408000</v>
      </c>
      <c r="P78" s="62"/>
      <c r="Q78" s="290"/>
    </row>
    <row r="79" spans="1:17" s="29" customFormat="1" ht="12.75" hidden="1">
      <c r="A79" s="23" t="s">
        <v>149</v>
      </c>
      <c r="B79" s="250" t="s">
        <v>148</v>
      </c>
      <c r="C79" s="513">
        <f>Jul20!O79</f>
        <v>0</v>
      </c>
      <c r="D79" s="301">
        <f>Jul20!P79</f>
        <v>0</v>
      </c>
      <c r="E79" s="326"/>
      <c r="F79" s="62"/>
      <c r="G79" s="27"/>
      <c r="H79" s="28"/>
      <c r="I79" s="25"/>
      <c r="J79" s="26"/>
      <c r="K79" s="27"/>
      <c r="L79" s="28"/>
      <c r="M79" s="27"/>
      <c r="N79" s="26"/>
      <c r="O79" s="299">
        <f t="shared" si="1"/>
        <v>0</v>
      </c>
      <c r="P79" s="62"/>
      <c r="Q79" s="290"/>
    </row>
    <row r="80" spans="1:17" s="29" customFormat="1" ht="12.75" hidden="1">
      <c r="A80" s="23" t="s">
        <v>66</v>
      </c>
      <c r="B80" s="250" t="s">
        <v>150</v>
      </c>
      <c r="C80" s="513">
        <f>Jul20!O80</f>
        <v>0</v>
      </c>
      <c r="D80" s="301">
        <f>Jul20!P80</f>
        <v>0</v>
      </c>
      <c r="E80" s="326"/>
      <c r="F80" s="62"/>
      <c r="G80" s="27"/>
      <c r="H80" s="28"/>
      <c r="I80" s="25"/>
      <c r="J80" s="26"/>
      <c r="K80" s="27"/>
      <c r="L80" s="28"/>
      <c r="M80" s="27"/>
      <c r="N80" s="26"/>
      <c r="O80" s="299">
        <f t="shared" si="1"/>
        <v>0</v>
      </c>
      <c r="P80" s="62"/>
      <c r="Q80" s="290"/>
    </row>
    <row r="81" spans="1:17" s="29" customFormat="1" ht="12.75" customHeight="1" hidden="1">
      <c r="A81" s="23" t="s">
        <v>221</v>
      </c>
      <c r="B81" s="250" t="s">
        <v>537</v>
      </c>
      <c r="C81" s="513">
        <f>Jul20!O81</f>
        <v>0</v>
      </c>
      <c r="D81" s="301">
        <f>Jul20!P81</f>
        <v>0</v>
      </c>
      <c r="E81" s="326"/>
      <c r="F81" s="62"/>
      <c r="G81" s="27"/>
      <c r="H81" s="28"/>
      <c r="I81" s="25"/>
      <c r="J81" s="26"/>
      <c r="K81" s="27"/>
      <c r="L81" s="28"/>
      <c r="M81" s="27"/>
      <c r="N81" s="26"/>
      <c r="O81" s="299">
        <f t="shared" si="1"/>
        <v>0</v>
      </c>
      <c r="P81" s="62"/>
      <c r="Q81" s="290"/>
    </row>
    <row r="82" spans="1:17" s="29" customFormat="1" ht="12.75">
      <c r="A82" s="23" t="s">
        <v>76</v>
      </c>
      <c r="B82" s="250" t="s">
        <v>153</v>
      </c>
      <c r="C82" s="513">
        <f>Jul20!O82</f>
        <v>0</v>
      </c>
      <c r="D82" s="301">
        <f>Jul20!P82</f>
        <v>0</v>
      </c>
      <c r="E82" s="326"/>
      <c r="F82" s="62"/>
      <c r="G82" s="27"/>
      <c r="H82" s="28"/>
      <c r="I82" s="25"/>
      <c r="J82" s="26"/>
      <c r="K82" s="27"/>
      <c r="L82" s="28"/>
      <c r="M82" s="27"/>
      <c r="N82" s="26"/>
      <c r="O82" s="299">
        <f t="shared" si="1"/>
        <v>0</v>
      </c>
      <c r="P82" s="62"/>
      <c r="Q82" s="290"/>
    </row>
    <row r="83" spans="1:17" s="29" customFormat="1" ht="12.75" hidden="1">
      <c r="A83" s="23" t="s">
        <v>242</v>
      </c>
      <c r="B83" s="250" t="s">
        <v>234</v>
      </c>
      <c r="C83" s="513">
        <f>Jul20!O83</f>
        <v>0</v>
      </c>
      <c r="D83" s="301">
        <f>Jul20!P83</f>
        <v>0</v>
      </c>
      <c r="E83" s="326"/>
      <c r="F83" s="62"/>
      <c r="G83" s="27"/>
      <c r="H83" s="28"/>
      <c r="I83" s="25"/>
      <c r="J83" s="26"/>
      <c r="K83" s="27"/>
      <c r="L83" s="28"/>
      <c r="M83" s="27"/>
      <c r="N83" s="26"/>
      <c r="O83" s="299">
        <f t="shared" si="1"/>
        <v>0</v>
      </c>
      <c r="P83" s="62"/>
      <c r="Q83" s="290"/>
    </row>
    <row r="84" spans="1:17" s="29" customFormat="1" ht="13.5" customHeight="1" hidden="1">
      <c r="A84" s="23" t="s">
        <v>75</v>
      </c>
      <c r="B84" s="250" t="s">
        <v>152</v>
      </c>
      <c r="C84" s="513">
        <f>Jul20!O84</f>
        <v>0</v>
      </c>
      <c r="D84" s="301">
        <f>Jul20!P84</f>
        <v>0</v>
      </c>
      <c r="E84" s="326"/>
      <c r="F84" s="62"/>
      <c r="G84" s="27"/>
      <c r="H84" s="28"/>
      <c r="I84" s="25"/>
      <c r="J84" s="26"/>
      <c r="K84" s="27"/>
      <c r="L84" s="28"/>
      <c r="M84" s="27"/>
      <c r="N84" s="26"/>
      <c r="O84" s="299">
        <f t="shared" si="1"/>
        <v>0</v>
      </c>
      <c r="P84" s="62"/>
      <c r="Q84" s="290"/>
    </row>
    <row r="85" spans="1:17" s="29" customFormat="1" ht="12.75" hidden="1">
      <c r="A85" s="23" t="s">
        <v>70</v>
      </c>
      <c r="B85" s="250" t="s">
        <v>151</v>
      </c>
      <c r="C85" s="513">
        <f>Jul20!O85</f>
        <v>0</v>
      </c>
      <c r="D85" s="301">
        <f>Jul20!P85</f>
        <v>0</v>
      </c>
      <c r="E85" s="326"/>
      <c r="F85" s="62"/>
      <c r="G85" s="27"/>
      <c r="H85" s="28"/>
      <c r="I85" s="25"/>
      <c r="J85" s="26"/>
      <c r="K85" s="27"/>
      <c r="L85" s="28"/>
      <c r="M85" s="27"/>
      <c r="N85" s="26"/>
      <c r="O85" s="299">
        <f t="shared" si="1"/>
        <v>0</v>
      </c>
      <c r="P85" s="62"/>
      <c r="Q85" s="290"/>
    </row>
    <row r="86" spans="1:17" s="29" customFormat="1" ht="12.75">
      <c r="A86" s="23" t="s">
        <v>562</v>
      </c>
      <c r="B86" s="250" t="s">
        <v>563</v>
      </c>
      <c r="C86" s="513">
        <f>Jul20!O86</f>
        <v>193000</v>
      </c>
      <c r="D86" s="301">
        <f>Jul20!P86</f>
        <v>0</v>
      </c>
      <c r="E86" s="326"/>
      <c r="F86" s="62"/>
      <c r="G86" s="27"/>
      <c r="H86" s="28"/>
      <c r="I86" s="25"/>
      <c r="J86" s="26"/>
      <c r="K86" s="27"/>
      <c r="L86" s="28"/>
      <c r="M86" s="27"/>
      <c r="N86" s="26"/>
      <c r="O86" s="299">
        <f aca="true" t="shared" si="2" ref="O86:O149">C86+E86+I86+M86-D86-F86-J86-N86+G86-H86+K86-L86</f>
        <v>193000</v>
      </c>
      <c r="P86" s="62"/>
      <c r="Q86" s="290"/>
    </row>
    <row r="87" spans="1:17" s="29" customFormat="1" ht="12.75">
      <c r="A87" s="23" t="s">
        <v>564</v>
      </c>
      <c r="B87" s="250" t="s">
        <v>565</v>
      </c>
      <c r="C87" s="513">
        <f>Jul20!O87</f>
        <v>0</v>
      </c>
      <c r="D87" s="301">
        <f>Jul20!P87</f>
        <v>0</v>
      </c>
      <c r="E87" s="326"/>
      <c r="F87" s="62"/>
      <c r="G87" s="27"/>
      <c r="H87" s="28"/>
      <c r="I87" s="25"/>
      <c r="J87" s="26"/>
      <c r="K87" s="27"/>
      <c r="L87" s="28"/>
      <c r="M87" s="27"/>
      <c r="N87" s="26"/>
      <c r="O87" s="299">
        <f t="shared" si="2"/>
        <v>0</v>
      </c>
      <c r="P87" s="62"/>
      <c r="Q87" s="290"/>
    </row>
    <row r="88" spans="1:17" s="29" customFormat="1" ht="12.75">
      <c r="A88" s="23" t="s">
        <v>553</v>
      </c>
      <c r="B88" s="250" t="s">
        <v>554</v>
      </c>
      <c r="C88" s="513">
        <f>Jul20!O88</f>
        <v>0</v>
      </c>
      <c r="D88" s="301">
        <f>Jul20!P88</f>
        <v>0</v>
      </c>
      <c r="E88" s="326"/>
      <c r="F88" s="62"/>
      <c r="G88" s="27"/>
      <c r="H88" s="28"/>
      <c r="I88" s="25"/>
      <c r="J88" s="26"/>
      <c r="K88" s="27"/>
      <c r="L88" s="28"/>
      <c r="M88" s="27"/>
      <c r="N88" s="26"/>
      <c r="O88" s="299">
        <f t="shared" si="2"/>
        <v>0</v>
      </c>
      <c r="P88" s="62"/>
      <c r="Q88" s="290"/>
    </row>
    <row r="89" spans="1:17" s="29" customFormat="1" ht="12.75">
      <c r="A89" s="23" t="s">
        <v>33</v>
      </c>
      <c r="B89" s="250" t="s">
        <v>154</v>
      </c>
      <c r="C89" s="513">
        <f>Jul20!O89</f>
        <v>274097.64</v>
      </c>
      <c r="D89" s="301">
        <f>Jul20!P89</f>
        <v>0</v>
      </c>
      <c r="E89" s="326"/>
      <c r="F89" s="62"/>
      <c r="G89" s="27"/>
      <c r="H89" s="28"/>
      <c r="I89" s="25"/>
      <c r="J89" s="26"/>
      <c r="K89" s="27"/>
      <c r="L89" s="28"/>
      <c r="M89" s="27"/>
      <c r="N89" s="26"/>
      <c r="O89" s="299">
        <f t="shared" si="2"/>
        <v>274097.64</v>
      </c>
      <c r="P89" s="62"/>
      <c r="Q89" s="290"/>
    </row>
    <row r="90" spans="1:17" s="29" customFormat="1" ht="12.75">
      <c r="A90" s="23" t="s">
        <v>34</v>
      </c>
      <c r="B90" s="250" t="s">
        <v>155</v>
      </c>
      <c r="C90" s="513">
        <f>Jul20!O90</f>
        <v>18808.079999999998</v>
      </c>
      <c r="D90" s="301">
        <f>Jul20!P90</f>
        <v>0</v>
      </c>
      <c r="E90" s="326">
        <v>3084.68</v>
      </c>
      <c r="F90" s="62"/>
      <c r="G90" s="27"/>
      <c r="H90" s="28"/>
      <c r="I90" s="25"/>
      <c r="J90" s="26"/>
      <c r="K90" s="27"/>
      <c r="L90" s="28"/>
      <c r="M90" s="27"/>
      <c r="N90" s="26"/>
      <c r="O90" s="299">
        <f t="shared" si="2"/>
        <v>21892.76</v>
      </c>
      <c r="P90" s="62"/>
      <c r="Q90" s="290"/>
    </row>
    <row r="91" spans="1:17" s="29" customFormat="1" ht="12.75">
      <c r="A91" s="23" t="s">
        <v>35</v>
      </c>
      <c r="B91" s="250" t="s">
        <v>156</v>
      </c>
      <c r="C91" s="513">
        <f>Jul20!O91</f>
        <v>91994.23</v>
      </c>
      <c r="D91" s="301">
        <f>Jul20!P91</f>
        <v>0</v>
      </c>
      <c r="E91" s="326">
        <v>12757.59</v>
      </c>
      <c r="F91" s="62"/>
      <c r="G91" s="27"/>
      <c r="H91" s="28"/>
      <c r="I91" s="25"/>
      <c r="J91" s="26"/>
      <c r="K91" s="27"/>
      <c r="L91" s="28"/>
      <c r="M91" s="27"/>
      <c r="N91" s="26"/>
      <c r="O91" s="299">
        <f t="shared" si="2"/>
        <v>104751.81999999999</v>
      </c>
      <c r="P91" s="62"/>
      <c r="Q91" s="290"/>
    </row>
    <row r="92" spans="1:17" s="29" customFormat="1" ht="12.75">
      <c r="A92" s="23" t="s">
        <v>36</v>
      </c>
      <c r="B92" s="250" t="s">
        <v>157</v>
      </c>
      <c r="C92" s="513">
        <f>Jul20!O92</f>
        <v>12000</v>
      </c>
      <c r="D92" s="301">
        <f>Jul20!P92</f>
        <v>0</v>
      </c>
      <c r="E92" s="326">
        <v>2000</v>
      </c>
      <c r="F92" s="62"/>
      <c r="G92" s="27"/>
      <c r="H92" s="28"/>
      <c r="I92" s="25"/>
      <c r="J92" s="26"/>
      <c r="K92" s="27"/>
      <c r="L92" s="28"/>
      <c r="M92" s="27"/>
      <c r="N92" s="26"/>
      <c r="O92" s="299">
        <f t="shared" si="2"/>
        <v>14000</v>
      </c>
      <c r="P92" s="62"/>
      <c r="Q92" s="290"/>
    </row>
    <row r="93" spans="1:17" s="29" customFormat="1" ht="12.75">
      <c r="A93" s="23" t="s">
        <v>698</v>
      </c>
      <c r="B93" s="250" t="s">
        <v>699</v>
      </c>
      <c r="C93" s="513">
        <f>Jul20!O93</f>
        <v>0</v>
      </c>
      <c r="D93" s="301">
        <f>Jul20!P93</f>
        <v>0</v>
      </c>
      <c r="E93" s="326"/>
      <c r="F93" s="62"/>
      <c r="G93" s="27"/>
      <c r="H93" s="28"/>
      <c r="I93" s="25"/>
      <c r="J93" s="26"/>
      <c r="K93" s="27"/>
      <c r="L93" s="28"/>
      <c r="M93" s="27"/>
      <c r="N93" s="26"/>
      <c r="O93" s="299">
        <f t="shared" si="2"/>
        <v>0</v>
      </c>
      <c r="P93" s="62"/>
      <c r="Q93" s="290"/>
    </row>
    <row r="94" spans="1:17" s="29" customFormat="1" ht="12.75">
      <c r="A94" s="23" t="s">
        <v>208</v>
      </c>
      <c r="B94" s="250" t="s">
        <v>207</v>
      </c>
      <c r="C94" s="513">
        <f>Jul20!O94</f>
        <v>1435033.81</v>
      </c>
      <c r="D94" s="301">
        <f>Jul20!P94</f>
        <v>0</v>
      </c>
      <c r="E94" s="326"/>
      <c r="F94" s="62"/>
      <c r="G94" s="27"/>
      <c r="H94" s="28"/>
      <c r="I94" s="25"/>
      <c r="J94" s="26"/>
      <c r="K94" s="27"/>
      <c r="L94" s="28"/>
      <c r="M94" s="27"/>
      <c r="N94" s="26"/>
      <c r="O94" s="299">
        <f t="shared" si="2"/>
        <v>1435033.81</v>
      </c>
      <c r="P94" s="62"/>
      <c r="Q94" s="290"/>
    </row>
    <row r="95" spans="1:17" s="29" customFormat="1" ht="12.75">
      <c r="A95" s="23" t="s">
        <v>719</v>
      </c>
      <c r="B95" s="250" t="s">
        <v>720</v>
      </c>
      <c r="C95" s="513">
        <f>Jul20!O95</f>
        <v>1047856.5</v>
      </c>
      <c r="D95" s="301">
        <f>Jul20!P95</f>
        <v>0</v>
      </c>
      <c r="E95" s="326"/>
      <c r="F95" s="62"/>
      <c r="G95" s="27"/>
      <c r="H95" s="28"/>
      <c r="I95" s="25"/>
      <c r="J95" s="26"/>
      <c r="K95" s="27"/>
      <c r="L95" s="28"/>
      <c r="M95" s="27"/>
      <c r="N95" s="26"/>
      <c r="O95" s="299">
        <f t="shared" si="2"/>
        <v>1047856.5</v>
      </c>
      <c r="P95" s="62"/>
      <c r="Q95" s="290"/>
    </row>
    <row r="96" spans="1:17" s="29" customFormat="1" ht="12.75">
      <c r="A96" s="23" t="s">
        <v>28</v>
      </c>
      <c r="B96" s="250" t="s">
        <v>158</v>
      </c>
      <c r="C96" s="513">
        <f>Jul20!O96</f>
        <v>559820.6</v>
      </c>
      <c r="D96" s="301">
        <f>Jul20!P96</f>
        <v>0</v>
      </c>
      <c r="E96" s="326">
        <v>9680</v>
      </c>
      <c r="F96" s="62"/>
      <c r="G96" s="27"/>
      <c r="H96" s="28"/>
      <c r="I96" s="25"/>
      <c r="J96" s="26"/>
      <c r="K96" s="27"/>
      <c r="L96" s="28"/>
      <c r="M96" s="27"/>
      <c r="N96" s="26"/>
      <c r="O96" s="299">
        <f t="shared" si="2"/>
        <v>569500.6</v>
      </c>
      <c r="P96" s="62"/>
      <c r="Q96" s="290"/>
    </row>
    <row r="97" spans="1:17" s="29" customFormat="1" ht="12.75">
      <c r="A97" s="23" t="s">
        <v>243</v>
      </c>
      <c r="B97" s="250" t="s">
        <v>236</v>
      </c>
      <c r="C97" s="513">
        <f>Jul20!O97</f>
        <v>0</v>
      </c>
      <c r="D97" s="301">
        <f>Jul20!P97</f>
        <v>0</v>
      </c>
      <c r="E97" s="326"/>
      <c r="F97" s="62"/>
      <c r="G97" s="27"/>
      <c r="H97" s="28"/>
      <c r="I97" s="25"/>
      <c r="J97" s="26"/>
      <c r="K97" s="27"/>
      <c r="L97" s="28"/>
      <c r="M97" s="27"/>
      <c r="N97" s="26"/>
      <c r="O97" s="299">
        <f t="shared" si="2"/>
        <v>0</v>
      </c>
      <c r="P97" s="62"/>
      <c r="Q97" s="290"/>
    </row>
    <row r="98" spans="1:17" s="29" customFormat="1" ht="12.75">
      <c r="A98" s="23" t="s">
        <v>27</v>
      </c>
      <c r="B98" s="250" t="s">
        <v>159</v>
      </c>
      <c r="C98" s="513">
        <f>Jul20!O98</f>
        <v>3238616.25</v>
      </c>
      <c r="D98" s="301">
        <f>Jul20!P98</f>
        <v>0</v>
      </c>
      <c r="E98" s="326"/>
      <c r="F98" s="62"/>
      <c r="G98" s="27"/>
      <c r="H98" s="28"/>
      <c r="I98" s="25"/>
      <c r="J98" s="26"/>
      <c r="K98" s="27"/>
      <c r="L98" s="28"/>
      <c r="M98" s="27"/>
      <c r="N98" s="26"/>
      <c r="O98" s="299">
        <f t="shared" si="2"/>
        <v>3238616.25</v>
      </c>
      <c r="P98" s="62"/>
      <c r="Q98" s="290"/>
    </row>
    <row r="99" spans="1:17" s="29" customFormat="1" ht="12.75">
      <c r="A99" s="23" t="s">
        <v>160</v>
      </c>
      <c r="B99" s="250" t="s">
        <v>161</v>
      </c>
      <c r="C99" s="513">
        <f>Jul20!O99</f>
        <v>0</v>
      </c>
      <c r="D99" s="301">
        <f>Jul20!P99</f>
        <v>0</v>
      </c>
      <c r="E99" s="326"/>
      <c r="F99" s="62"/>
      <c r="G99" s="27"/>
      <c r="H99" s="28"/>
      <c r="I99" s="25"/>
      <c r="J99" s="26"/>
      <c r="K99" s="27"/>
      <c r="L99" s="28"/>
      <c r="M99" s="27"/>
      <c r="N99" s="26"/>
      <c r="O99" s="299">
        <f t="shared" si="2"/>
        <v>0</v>
      </c>
      <c r="P99" s="62"/>
      <c r="Q99" s="290"/>
    </row>
    <row r="100" spans="1:17" s="29" customFormat="1" ht="12.75">
      <c r="A100" s="23" t="s">
        <v>216</v>
      </c>
      <c r="B100" s="250" t="s">
        <v>162</v>
      </c>
      <c r="C100" s="513">
        <f>Jul20!O100</f>
        <v>8067.25</v>
      </c>
      <c r="D100" s="301">
        <f>Jul20!P100</f>
        <v>0</v>
      </c>
      <c r="E100" s="326">
        <v>1620</v>
      </c>
      <c r="F100" s="62"/>
      <c r="G100" s="27"/>
      <c r="H100" s="28"/>
      <c r="I100" s="25"/>
      <c r="J100" s="26"/>
      <c r="K100" s="27"/>
      <c r="L100" s="28"/>
      <c r="M100" s="27"/>
      <c r="N100" s="26"/>
      <c r="O100" s="299">
        <f t="shared" si="2"/>
        <v>9687.25</v>
      </c>
      <c r="P100" s="62"/>
      <c r="Q100" s="290"/>
    </row>
    <row r="101" spans="1:17" s="29" customFormat="1" ht="12.75">
      <c r="A101" s="23" t="s">
        <v>56</v>
      </c>
      <c r="B101" s="250" t="s">
        <v>163</v>
      </c>
      <c r="C101" s="513">
        <f>Jul20!O101</f>
        <v>0</v>
      </c>
      <c r="D101" s="301">
        <f>Jul20!P101</f>
        <v>0</v>
      </c>
      <c r="E101" s="326"/>
      <c r="F101" s="62"/>
      <c r="G101" s="27"/>
      <c r="H101" s="28"/>
      <c r="I101" s="25"/>
      <c r="J101" s="26"/>
      <c r="K101" s="27"/>
      <c r="L101" s="28"/>
      <c r="M101" s="27"/>
      <c r="N101" s="26"/>
      <c r="O101" s="299">
        <f t="shared" si="2"/>
        <v>0</v>
      </c>
      <c r="P101" s="62"/>
      <c r="Q101" s="290"/>
    </row>
    <row r="102" spans="1:17" s="29" customFormat="1" ht="12.75">
      <c r="A102" s="23" t="s">
        <v>217</v>
      </c>
      <c r="B102" s="250" t="s">
        <v>218</v>
      </c>
      <c r="C102" s="513">
        <f>Jul20!O102</f>
        <v>0</v>
      </c>
      <c r="D102" s="301">
        <f>Jul20!P102</f>
        <v>0</v>
      </c>
      <c r="E102" s="326"/>
      <c r="F102" s="62"/>
      <c r="G102" s="27"/>
      <c r="H102" s="28"/>
      <c r="I102" s="25"/>
      <c r="J102" s="26"/>
      <c r="K102" s="27"/>
      <c r="L102" s="28"/>
      <c r="M102" s="27"/>
      <c r="N102" s="26"/>
      <c r="O102" s="299">
        <f t="shared" si="2"/>
        <v>0</v>
      </c>
      <c r="P102" s="62"/>
      <c r="Q102" s="290"/>
    </row>
    <row r="103" spans="1:17" s="29" customFormat="1" ht="12.75">
      <c r="A103" s="23" t="s">
        <v>164</v>
      </c>
      <c r="B103" s="250" t="s">
        <v>165</v>
      </c>
      <c r="C103" s="513">
        <f>Jul20!O103</f>
        <v>63878.58</v>
      </c>
      <c r="D103" s="301">
        <f>Jul20!P103</f>
        <v>0</v>
      </c>
      <c r="E103" s="326">
        <v>8019.16</v>
      </c>
      <c r="F103" s="62"/>
      <c r="G103" s="27"/>
      <c r="H103" s="28"/>
      <c r="I103" s="25"/>
      <c r="J103" s="26"/>
      <c r="K103" s="27"/>
      <c r="L103" s="28"/>
      <c r="M103" s="27"/>
      <c r="N103" s="26"/>
      <c r="O103" s="299">
        <f t="shared" si="2"/>
        <v>71897.74</v>
      </c>
      <c r="P103" s="62"/>
      <c r="Q103" s="290"/>
    </row>
    <row r="104" spans="1:17" s="29" customFormat="1" ht="12.75">
      <c r="A104" s="23" t="s">
        <v>570</v>
      </c>
      <c r="B104" s="250" t="s">
        <v>556</v>
      </c>
      <c r="C104" s="513">
        <f>Jul20!O104</f>
        <v>0</v>
      </c>
      <c r="D104" s="301">
        <f>Jul20!P104</f>
        <v>0</v>
      </c>
      <c r="E104" s="326"/>
      <c r="F104" s="62"/>
      <c r="G104" s="27"/>
      <c r="H104" s="28"/>
      <c r="I104" s="25"/>
      <c r="J104" s="26"/>
      <c r="K104" s="27"/>
      <c r="L104" s="28"/>
      <c r="M104" s="27"/>
      <c r="N104" s="26"/>
      <c r="O104" s="299">
        <f t="shared" si="2"/>
        <v>0</v>
      </c>
      <c r="P104" s="62"/>
      <c r="Q104" s="290"/>
    </row>
    <row r="105" spans="1:17" s="29" customFormat="1" ht="12.75">
      <c r="A105" s="23" t="s">
        <v>535</v>
      </c>
      <c r="B105" s="250" t="s">
        <v>521</v>
      </c>
      <c r="C105" s="513">
        <f>Jul20!O105</f>
        <v>0</v>
      </c>
      <c r="D105" s="301">
        <f>Jul20!P105</f>
        <v>0</v>
      </c>
      <c r="E105" s="326"/>
      <c r="F105" s="62"/>
      <c r="G105" s="27"/>
      <c r="H105" s="28"/>
      <c r="I105" s="25"/>
      <c r="J105" s="26"/>
      <c r="K105" s="27"/>
      <c r="L105" s="28"/>
      <c r="M105" s="27"/>
      <c r="N105" s="26"/>
      <c r="O105" s="299">
        <f t="shared" si="2"/>
        <v>0</v>
      </c>
      <c r="P105" s="62"/>
      <c r="Q105" s="290"/>
    </row>
    <row r="106" spans="1:17" s="29" customFormat="1" ht="12.75">
      <c r="A106" s="23" t="s">
        <v>536</v>
      </c>
      <c r="B106" s="250" t="s">
        <v>522</v>
      </c>
      <c r="C106" s="513">
        <f>Jul20!O106</f>
        <v>0</v>
      </c>
      <c r="D106" s="301">
        <f>Jul20!P106</f>
        <v>0</v>
      </c>
      <c r="E106" s="326"/>
      <c r="F106" s="62"/>
      <c r="G106" s="27"/>
      <c r="H106" s="28"/>
      <c r="I106" s="25"/>
      <c r="J106" s="26"/>
      <c r="K106" s="27"/>
      <c r="L106" s="28"/>
      <c r="M106" s="27"/>
      <c r="N106" s="26"/>
      <c r="O106" s="299">
        <f t="shared" si="2"/>
        <v>0</v>
      </c>
      <c r="P106" s="62"/>
      <c r="Q106" s="290"/>
    </row>
    <row r="107" spans="1:17" s="29" customFormat="1" ht="12.75" hidden="1">
      <c r="A107" s="23" t="s">
        <v>571</v>
      </c>
      <c r="B107" s="250" t="s">
        <v>572</v>
      </c>
      <c r="C107" s="513">
        <f>Jul20!O107</f>
        <v>0</v>
      </c>
      <c r="D107" s="301">
        <f>Jul20!P107</f>
        <v>0</v>
      </c>
      <c r="E107" s="326"/>
      <c r="F107" s="62"/>
      <c r="G107" s="27"/>
      <c r="H107" s="28"/>
      <c r="I107" s="25"/>
      <c r="J107" s="26"/>
      <c r="K107" s="27"/>
      <c r="L107" s="28"/>
      <c r="M107" s="27"/>
      <c r="N107" s="26"/>
      <c r="O107" s="299">
        <f t="shared" si="2"/>
        <v>0</v>
      </c>
      <c r="P107" s="62"/>
      <c r="Q107" s="290"/>
    </row>
    <row r="108" spans="1:17" s="29" customFormat="1" ht="12.75" hidden="1">
      <c r="A108" s="23" t="s">
        <v>573</v>
      </c>
      <c r="B108" s="250" t="s">
        <v>557</v>
      </c>
      <c r="C108" s="513">
        <f>Jul20!O108</f>
        <v>0</v>
      </c>
      <c r="D108" s="301">
        <f>Jul20!P108</f>
        <v>0</v>
      </c>
      <c r="E108" s="326"/>
      <c r="F108" s="62"/>
      <c r="G108" s="27"/>
      <c r="H108" s="28"/>
      <c r="I108" s="25"/>
      <c r="J108" s="26"/>
      <c r="K108" s="27"/>
      <c r="L108" s="28"/>
      <c r="M108" s="27"/>
      <c r="N108" s="26"/>
      <c r="O108" s="299">
        <f t="shared" si="2"/>
        <v>0</v>
      </c>
      <c r="P108" s="62"/>
      <c r="Q108" s="290"/>
    </row>
    <row r="109" spans="1:17" s="29" customFormat="1" ht="12.75" hidden="1">
      <c r="A109" s="23" t="s">
        <v>241</v>
      </c>
      <c r="B109" s="250" t="s">
        <v>235</v>
      </c>
      <c r="C109" s="513">
        <f>Jul20!O109</f>
        <v>0</v>
      </c>
      <c r="D109" s="301">
        <f>Jul20!P109</f>
        <v>0</v>
      </c>
      <c r="E109" s="326"/>
      <c r="F109" s="62"/>
      <c r="G109" s="27"/>
      <c r="H109" s="28"/>
      <c r="I109" s="25"/>
      <c r="J109" s="26"/>
      <c r="K109" s="27"/>
      <c r="L109" s="28"/>
      <c r="M109" s="27"/>
      <c r="N109" s="26"/>
      <c r="O109" s="299">
        <f t="shared" si="2"/>
        <v>0</v>
      </c>
      <c r="P109" s="62"/>
      <c r="Q109" s="290"/>
    </row>
    <row r="110" spans="1:17" s="29" customFormat="1" ht="12.75">
      <c r="A110" s="23" t="s">
        <v>166</v>
      </c>
      <c r="B110" s="250" t="s">
        <v>167</v>
      </c>
      <c r="C110" s="513">
        <f>Jul20!O110</f>
        <v>2328.25</v>
      </c>
      <c r="D110" s="301">
        <f>Jul20!P110</f>
        <v>0</v>
      </c>
      <c r="E110" s="326"/>
      <c r="F110" s="62"/>
      <c r="G110" s="27"/>
      <c r="H110" s="28"/>
      <c r="I110" s="25"/>
      <c r="J110" s="26"/>
      <c r="K110" s="27"/>
      <c r="L110" s="28"/>
      <c r="M110" s="27"/>
      <c r="N110" s="26"/>
      <c r="O110" s="299">
        <f t="shared" si="2"/>
        <v>2328.25</v>
      </c>
      <c r="P110" s="62"/>
      <c r="Q110" s="290"/>
    </row>
    <row r="111" spans="1:17" s="29" customFormat="1" ht="12.75">
      <c r="A111" s="23" t="s">
        <v>37</v>
      </c>
      <c r="B111" s="250" t="s">
        <v>168</v>
      </c>
      <c r="C111" s="513">
        <f>Jul20!O111</f>
        <v>19165.5</v>
      </c>
      <c r="D111" s="301">
        <f>Jul20!P111</f>
        <v>0</v>
      </c>
      <c r="E111" s="326">
        <v>2334.1</v>
      </c>
      <c r="F111" s="62"/>
      <c r="G111" s="27"/>
      <c r="H111" s="28"/>
      <c r="I111" s="25"/>
      <c r="J111" s="26"/>
      <c r="K111" s="27"/>
      <c r="L111" s="28"/>
      <c r="M111" s="27"/>
      <c r="N111" s="26"/>
      <c r="O111" s="299">
        <f t="shared" si="2"/>
        <v>21499.6</v>
      </c>
      <c r="P111" s="62"/>
      <c r="Q111" s="290"/>
    </row>
    <row r="112" spans="1:17" s="29" customFormat="1" ht="12.75">
      <c r="A112" s="23" t="s">
        <v>43</v>
      </c>
      <c r="B112" s="250" t="s">
        <v>169</v>
      </c>
      <c r="C112" s="513">
        <f>Jul20!O112</f>
        <v>105153.81</v>
      </c>
      <c r="D112" s="301">
        <f>Jul20!P112</f>
        <v>0</v>
      </c>
      <c r="E112" s="326">
        <v>17356.14</v>
      </c>
      <c r="F112" s="62"/>
      <c r="G112" s="27"/>
      <c r="H112" s="28"/>
      <c r="I112" s="25"/>
      <c r="J112" s="26"/>
      <c r="K112" s="27"/>
      <c r="L112" s="28"/>
      <c r="M112" s="27"/>
      <c r="N112" s="26"/>
      <c r="O112" s="299">
        <f t="shared" si="2"/>
        <v>122509.95</v>
      </c>
      <c r="P112" s="62"/>
      <c r="Q112" s="290"/>
    </row>
    <row r="113" spans="1:17" s="29" customFormat="1" ht="12.75">
      <c r="A113" s="23" t="s">
        <v>694</v>
      </c>
      <c r="B113" s="250" t="s">
        <v>695</v>
      </c>
      <c r="C113" s="513">
        <f>Jul20!O113</f>
        <v>0</v>
      </c>
      <c r="D113" s="301">
        <f>Jul20!P113</f>
        <v>0</v>
      </c>
      <c r="E113" s="326"/>
      <c r="F113" s="62"/>
      <c r="G113" s="27"/>
      <c r="H113" s="28"/>
      <c r="I113" s="25"/>
      <c r="J113" s="26"/>
      <c r="K113" s="27"/>
      <c r="L113" s="28"/>
      <c r="M113" s="27"/>
      <c r="N113" s="26"/>
      <c r="O113" s="299">
        <f t="shared" si="2"/>
        <v>0</v>
      </c>
      <c r="P113" s="62"/>
      <c r="Q113" s="290"/>
    </row>
    <row r="114" spans="1:17" s="29" customFormat="1" ht="12.75">
      <c r="A114" s="23" t="s">
        <v>29</v>
      </c>
      <c r="B114" s="250" t="s">
        <v>170</v>
      </c>
      <c r="C114" s="513">
        <f>Jul20!O114</f>
        <v>29001.8</v>
      </c>
      <c r="D114" s="301">
        <f>Jul20!P114</f>
        <v>0</v>
      </c>
      <c r="E114" s="326">
        <v>7209.5</v>
      </c>
      <c r="F114" s="62"/>
      <c r="G114" s="27"/>
      <c r="H114" s="28"/>
      <c r="I114" s="25"/>
      <c r="J114" s="26"/>
      <c r="K114" s="27"/>
      <c r="L114" s="28"/>
      <c r="M114" s="27"/>
      <c r="N114" s="26"/>
      <c r="O114" s="299">
        <f t="shared" si="2"/>
        <v>36211.3</v>
      </c>
      <c r="P114" s="62"/>
      <c r="Q114" s="290"/>
    </row>
    <row r="115" spans="1:17" s="29" customFormat="1" ht="12.75">
      <c r="A115" s="23" t="s">
        <v>194</v>
      </c>
      <c r="B115" s="250" t="s">
        <v>196</v>
      </c>
      <c r="C115" s="513">
        <f>Jul20!O115</f>
        <v>54453.850000000006</v>
      </c>
      <c r="D115" s="301">
        <f>Jul20!P115</f>
        <v>0</v>
      </c>
      <c r="E115" s="326">
        <v>8000</v>
      </c>
      <c r="F115" s="62"/>
      <c r="G115" s="27"/>
      <c r="H115" s="28"/>
      <c r="I115" s="25"/>
      <c r="J115" s="26"/>
      <c r="K115" s="27"/>
      <c r="L115" s="28"/>
      <c r="M115" s="27"/>
      <c r="N115" s="26"/>
      <c r="O115" s="299">
        <f t="shared" si="2"/>
        <v>62453.850000000006</v>
      </c>
      <c r="P115" s="62"/>
      <c r="Q115" s="290"/>
    </row>
    <row r="116" spans="1:17" s="29" customFormat="1" ht="12.75">
      <c r="A116" s="23" t="s">
        <v>195</v>
      </c>
      <c r="B116" s="250" t="s">
        <v>197</v>
      </c>
      <c r="C116" s="513">
        <f>Jul20!O116</f>
        <v>15451.15</v>
      </c>
      <c r="D116" s="301">
        <f>Jul20!P116</f>
        <v>0</v>
      </c>
      <c r="E116" s="326"/>
      <c r="F116" s="62"/>
      <c r="G116" s="27"/>
      <c r="H116" s="28"/>
      <c r="I116" s="25"/>
      <c r="J116" s="26"/>
      <c r="K116" s="27"/>
      <c r="L116" s="28"/>
      <c r="M116" s="27"/>
      <c r="N116" s="26"/>
      <c r="O116" s="299">
        <f t="shared" si="2"/>
        <v>15451.15</v>
      </c>
      <c r="P116" s="62"/>
      <c r="Q116" s="290"/>
    </row>
    <row r="117" spans="1:17" s="29" customFormat="1" ht="12.75">
      <c r="A117" s="23" t="s">
        <v>171</v>
      </c>
      <c r="B117" s="250" t="s">
        <v>172</v>
      </c>
      <c r="C117" s="513">
        <f>Jul20!O117</f>
        <v>51348.21000000001</v>
      </c>
      <c r="D117" s="301">
        <f>Jul20!P117</f>
        <v>0</v>
      </c>
      <c r="E117" s="326">
        <v>3993.67</v>
      </c>
      <c r="F117" s="62"/>
      <c r="G117" s="27"/>
      <c r="H117" s="28"/>
      <c r="I117" s="25"/>
      <c r="J117" s="26"/>
      <c r="K117" s="27"/>
      <c r="L117" s="28"/>
      <c r="M117" s="27"/>
      <c r="N117" s="26"/>
      <c r="O117" s="299">
        <f t="shared" si="2"/>
        <v>55341.880000000005</v>
      </c>
      <c r="P117" s="62"/>
      <c r="Q117" s="290"/>
    </row>
    <row r="118" spans="1:17" s="29" customFormat="1" ht="12.75">
      <c r="A118" s="23" t="s">
        <v>51</v>
      </c>
      <c r="B118" s="250" t="s">
        <v>173</v>
      </c>
      <c r="C118" s="513">
        <f>Jul20!O118</f>
        <v>300</v>
      </c>
      <c r="D118" s="301">
        <f>Jul20!P118</f>
        <v>0</v>
      </c>
      <c r="E118" s="326"/>
      <c r="F118" s="62"/>
      <c r="G118" s="27"/>
      <c r="H118" s="28"/>
      <c r="I118" s="25"/>
      <c r="J118" s="26"/>
      <c r="K118" s="27"/>
      <c r="L118" s="28"/>
      <c r="M118" s="27"/>
      <c r="N118" s="26"/>
      <c r="O118" s="299">
        <f t="shared" si="2"/>
        <v>300</v>
      </c>
      <c r="P118" s="62"/>
      <c r="Q118" s="290"/>
    </row>
    <row r="119" spans="1:17" s="29" customFormat="1" ht="12.75">
      <c r="A119" s="23" t="s">
        <v>539</v>
      </c>
      <c r="B119" s="250" t="s">
        <v>538</v>
      </c>
      <c r="C119" s="513">
        <f>Jul20!O119</f>
        <v>0</v>
      </c>
      <c r="D119" s="301">
        <f>Jul20!P119</f>
        <v>0</v>
      </c>
      <c r="E119" s="326"/>
      <c r="F119" s="62"/>
      <c r="G119" s="27"/>
      <c r="H119" s="28"/>
      <c r="I119" s="25"/>
      <c r="J119" s="26"/>
      <c r="K119" s="27"/>
      <c r="L119" s="28"/>
      <c r="M119" s="27"/>
      <c r="N119" s="26"/>
      <c r="O119" s="299">
        <f t="shared" si="2"/>
        <v>0</v>
      </c>
      <c r="P119" s="62"/>
      <c r="Q119" s="290"/>
    </row>
    <row r="120" spans="1:17" s="29" customFormat="1" ht="12.75">
      <c r="A120" s="23" t="s">
        <v>193</v>
      </c>
      <c r="B120" s="250" t="s">
        <v>190</v>
      </c>
      <c r="C120" s="513">
        <f>Jul20!O120</f>
        <v>64166.689999999995</v>
      </c>
      <c r="D120" s="301">
        <f>Jul20!P120</f>
        <v>0</v>
      </c>
      <c r="E120" s="326">
        <v>9166.67</v>
      </c>
      <c r="F120" s="62"/>
      <c r="G120" s="27"/>
      <c r="H120" s="28"/>
      <c r="I120" s="25"/>
      <c r="J120" s="26"/>
      <c r="K120" s="27"/>
      <c r="L120" s="28"/>
      <c r="M120" s="27"/>
      <c r="N120" s="26"/>
      <c r="O120" s="299">
        <f t="shared" si="2"/>
        <v>73333.36</v>
      </c>
      <c r="P120" s="62"/>
      <c r="Q120" s="290"/>
    </row>
    <row r="121" spans="1:17" s="29" customFormat="1" ht="12.75">
      <c r="A121" s="23" t="s">
        <v>71</v>
      </c>
      <c r="B121" s="250" t="s">
        <v>178</v>
      </c>
      <c r="C121" s="513">
        <f>Jul20!O121</f>
        <v>400</v>
      </c>
      <c r="D121" s="301">
        <f>Jul20!P121</f>
        <v>0</v>
      </c>
      <c r="E121" s="326"/>
      <c r="F121" s="62"/>
      <c r="G121" s="27"/>
      <c r="H121" s="28"/>
      <c r="I121" s="25"/>
      <c r="J121" s="26"/>
      <c r="K121" s="27"/>
      <c r="L121" s="28"/>
      <c r="M121" s="27"/>
      <c r="N121" s="26"/>
      <c r="O121" s="299">
        <f t="shared" si="2"/>
        <v>400</v>
      </c>
      <c r="P121" s="62"/>
      <c r="Q121" s="290"/>
    </row>
    <row r="122" spans="1:17" s="29" customFormat="1" ht="12.75">
      <c r="A122" s="23" t="s">
        <v>30</v>
      </c>
      <c r="B122" s="250" t="s">
        <v>179</v>
      </c>
      <c r="C122" s="513">
        <f>Jul20!O122</f>
        <v>0</v>
      </c>
      <c r="D122" s="301">
        <f>Jul20!P122</f>
        <v>0</v>
      </c>
      <c r="E122" s="326"/>
      <c r="F122" s="62"/>
      <c r="G122" s="27"/>
      <c r="H122" s="28"/>
      <c r="I122" s="25"/>
      <c r="J122" s="26"/>
      <c r="K122" s="27"/>
      <c r="L122" s="28"/>
      <c r="M122" s="27"/>
      <c r="N122" s="26"/>
      <c r="O122" s="299">
        <f t="shared" si="2"/>
        <v>0</v>
      </c>
      <c r="P122" s="62"/>
      <c r="Q122" s="290"/>
    </row>
    <row r="123" spans="1:17" s="29" customFormat="1" ht="12.75">
      <c r="A123" s="23" t="s">
        <v>198</v>
      </c>
      <c r="B123" s="250" t="s">
        <v>199</v>
      </c>
      <c r="C123" s="513">
        <f>Jul20!O123</f>
        <v>0</v>
      </c>
      <c r="D123" s="301">
        <f>Jul20!P123</f>
        <v>0</v>
      </c>
      <c r="E123" s="326"/>
      <c r="F123" s="62"/>
      <c r="G123" s="27"/>
      <c r="H123" s="28"/>
      <c r="I123" s="25"/>
      <c r="J123" s="26"/>
      <c r="K123" s="27"/>
      <c r="L123" s="28"/>
      <c r="M123" s="27"/>
      <c r="N123" s="26"/>
      <c r="O123" s="299">
        <f t="shared" si="2"/>
        <v>0</v>
      </c>
      <c r="P123" s="62"/>
      <c r="Q123" s="290"/>
    </row>
    <row r="124" spans="1:17" s="29" customFormat="1" ht="12.75">
      <c r="A124" s="23" t="s">
        <v>72</v>
      </c>
      <c r="B124" s="250" t="s">
        <v>182</v>
      </c>
      <c r="C124" s="513">
        <f>Jul20!O124</f>
        <v>408881.3599999999</v>
      </c>
      <c r="D124" s="301">
        <f>Jul20!P124</f>
        <v>0</v>
      </c>
      <c r="E124" s="326">
        <v>53345.01</v>
      </c>
      <c r="F124" s="62"/>
      <c r="G124" s="27"/>
      <c r="H124" s="28"/>
      <c r="I124" s="25"/>
      <c r="J124" s="26"/>
      <c r="K124" s="27"/>
      <c r="L124" s="28"/>
      <c r="M124" s="27"/>
      <c r="N124" s="26"/>
      <c r="O124" s="299">
        <f t="shared" si="2"/>
        <v>462226.36999999994</v>
      </c>
      <c r="P124" s="62"/>
      <c r="Q124" s="290"/>
    </row>
    <row r="125" spans="1:17" s="29" customFormat="1" ht="12.75">
      <c r="A125" s="23" t="s">
        <v>65</v>
      </c>
      <c r="B125" s="250" t="s">
        <v>183</v>
      </c>
      <c r="C125" s="513">
        <f>Jul20!O125</f>
        <v>0</v>
      </c>
      <c r="D125" s="301">
        <f>Jul20!P125</f>
        <v>0</v>
      </c>
      <c r="E125" s="326"/>
      <c r="F125" s="62"/>
      <c r="G125" s="27"/>
      <c r="H125" s="28"/>
      <c r="I125" s="25"/>
      <c r="J125" s="26"/>
      <c r="K125" s="27"/>
      <c r="L125" s="28"/>
      <c r="M125" s="27"/>
      <c r="N125" s="26"/>
      <c r="O125" s="299">
        <f t="shared" si="2"/>
        <v>0</v>
      </c>
      <c r="P125" s="62"/>
      <c r="Q125" s="290"/>
    </row>
    <row r="126" spans="1:17" s="29" customFormat="1" ht="12.75">
      <c r="A126" s="23" t="s">
        <v>180</v>
      </c>
      <c r="B126" s="250" t="s">
        <v>181</v>
      </c>
      <c r="C126" s="513">
        <f>Jul20!O126</f>
        <v>0</v>
      </c>
      <c r="D126" s="301">
        <f>Jul20!P126</f>
        <v>0</v>
      </c>
      <c r="E126" s="326"/>
      <c r="F126" s="62"/>
      <c r="G126" s="27"/>
      <c r="H126" s="28"/>
      <c r="I126" s="25"/>
      <c r="J126" s="26"/>
      <c r="K126" s="27"/>
      <c r="L126" s="28"/>
      <c r="M126" s="27"/>
      <c r="N126" s="26"/>
      <c r="O126" s="299">
        <f t="shared" si="2"/>
        <v>0</v>
      </c>
      <c r="P126" s="62"/>
      <c r="Q126" s="290"/>
    </row>
    <row r="127" spans="1:17" s="29" customFormat="1" ht="12.75">
      <c r="A127" s="23" t="s">
        <v>184</v>
      </c>
      <c r="B127" s="250" t="s">
        <v>185</v>
      </c>
      <c r="C127" s="513">
        <f>Jul20!O127</f>
        <v>0</v>
      </c>
      <c r="D127" s="301">
        <f>Jul20!P127</f>
        <v>0</v>
      </c>
      <c r="E127" s="326">
        <v>97413.83</v>
      </c>
      <c r="F127" s="62"/>
      <c r="G127" s="27"/>
      <c r="H127" s="28"/>
      <c r="I127" s="25"/>
      <c r="J127" s="26"/>
      <c r="K127" s="27"/>
      <c r="L127" s="28"/>
      <c r="M127" s="27"/>
      <c r="N127" s="26"/>
      <c r="O127" s="299">
        <f t="shared" si="2"/>
        <v>97413.83</v>
      </c>
      <c r="P127" s="62"/>
      <c r="Q127" s="290"/>
    </row>
    <row r="128" spans="1:17" s="29" customFormat="1" ht="12.75">
      <c r="A128" s="23" t="s">
        <v>186</v>
      </c>
      <c r="B128" s="250" t="s">
        <v>204</v>
      </c>
      <c r="C128" s="513">
        <f>Jul20!O128</f>
        <v>0</v>
      </c>
      <c r="D128" s="301">
        <f>Jul20!P128</f>
        <v>0</v>
      </c>
      <c r="E128" s="326"/>
      <c r="F128" s="62"/>
      <c r="G128" s="27"/>
      <c r="H128" s="28"/>
      <c r="I128" s="25"/>
      <c r="J128" s="26"/>
      <c r="K128" s="27"/>
      <c r="L128" s="28"/>
      <c r="M128" s="27"/>
      <c r="N128" s="26"/>
      <c r="O128" s="299">
        <f t="shared" si="2"/>
        <v>0</v>
      </c>
      <c r="P128" s="62"/>
      <c r="Q128" s="290"/>
    </row>
    <row r="129" spans="1:17" s="29" customFormat="1" ht="12.75">
      <c r="A129" s="23" t="s">
        <v>219</v>
      </c>
      <c r="B129" s="250" t="s">
        <v>205</v>
      </c>
      <c r="C129" s="513">
        <f>Jul20!O129</f>
        <v>77611.25</v>
      </c>
      <c r="D129" s="301">
        <f>Jul20!P129</f>
        <v>0</v>
      </c>
      <c r="E129" s="326"/>
      <c r="F129" s="62"/>
      <c r="G129" s="27"/>
      <c r="H129" s="28"/>
      <c r="I129" s="25"/>
      <c r="J129" s="26"/>
      <c r="K129" s="27"/>
      <c r="L129" s="28"/>
      <c r="M129" s="27"/>
      <c r="N129" s="26"/>
      <c r="O129" s="299">
        <f t="shared" si="2"/>
        <v>77611.25</v>
      </c>
      <c r="P129" s="62"/>
      <c r="Q129" s="290"/>
    </row>
    <row r="130" spans="1:17" s="29" customFormat="1" ht="12.75">
      <c r="A130" s="23" t="s">
        <v>220</v>
      </c>
      <c r="B130" s="250" t="s">
        <v>206</v>
      </c>
      <c r="C130" s="513">
        <f>Jul20!O130</f>
        <v>113190</v>
      </c>
      <c r="D130" s="301">
        <f>Jul20!P130</f>
        <v>0</v>
      </c>
      <c r="E130" s="326"/>
      <c r="F130" s="62"/>
      <c r="G130" s="27"/>
      <c r="H130" s="28"/>
      <c r="I130" s="25"/>
      <c r="J130" s="26"/>
      <c r="K130" s="27"/>
      <c r="L130" s="28"/>
      <c r="M130" s="27"/>
      <c r="N130" s="26"/>
      <c r="O130" s="299">
        <f t="shared" si="2"/>
        <v>113190</v>
      </c>
      <c r="P130" s="62"/>
      <c r="Q130" s="290"/>
    </row>
    <row r="131" spans="1:17" s="29" customFormat="1" ht="12.75">
      <c r="A131" s="23" t="s">
        <v>584</v>
      </c>
      <c r="B131" s="250" t="s">
        <v>585</v>
      </c>
      <c r="C131" s="513">
        <f>Jul20!O131</f>
        <v>0</v>
      </c>
      <c r="D131" s="301">
        <f>Jul20!P131</f>
        <v>0</v>
      </c>
      <c r="E131" s="326"/>
      <c r="F131" s="62"/>
      <c r="G131" s="27"/>
      <c r="H131" s="28"/>
      <c r="I131" s="25"/>
      <c r="J131" s="26"/>
      <c r="K131" s="27"/>
      <c r="L131" s="28"/>
      <c r="M131" s="27"/>
      <c r="N131" s="26"/>
      <c r="O131" s="299">
        <f t="shared" si="2"/>
        <v>0</v>
      </c>
      <c r="P131" s="62"/>
      <c r="Q131" s="290"/>
    </row>
    <row r="132" spans="1:17" s="29" customFormat="1" ht="12.75">
      <c r="A132" s="23" t="s">
        <v>188</v>
      </c>
      <c r="B132" s="250" t="s">
        <v>189</v>
      </c>
      <c r="C132" s="513">
        <f>Jul20!O132</f>
        <v>0</v>
      </c>
      <c r="D132" s="301">
        <f>Jul20!P132</f>
        <v>0</v>
      </c>
      <c r="E132" s="326"/>
      <c r="F132" s="62"/>
      <c r="G132" s="27"/>
      <c r="H132" s="28"/>
      <c r="I132" s="25"/>
      <c r="J132" s="26"/>
      <c r="K132" s="27"/>
      <c r="L132" s="28"/>
      <c r="M132" s="27"/>
      <c r="N132" s="26"/>
      <c r="O132" s="299">
        <f t="shared" si="2"/>
        <v>0</v>
      </c>
      <c r="P132" s="62"/>
      <c r="Q132" s="290"/>
    </row>
    <row r="133" spans="1:17" s="29" customFormat="1" ht="12.75">
      <c r="A133" s="23" t="s">
        <v>229</v>
      </c>
      <c r="B133" s="250" t="s">
        <v>227</v>
      </c>
      <c r="C133" s="513">
        <f>Jul20!O133</f>
        <v>57549</v>
      </c>
      <c r="D133" s="301">
        <f>Jul20!P133</f>
        <v>0</v>
      </c>
      <c r="E133" s="326"/>
      <c r="F133" s="62"/>
      <c r="G133" s="27"/>
      <c r="H133" s="28"/>
      <c r="I133" s="25"/>
      <c r="J133" s="26"/>
      <c r="K133" s="27"/>
      <c r="L133" s="28"/>
      <c r="M133" s="27"/>
      <c r="N133" s="26"/>
      <c r="O133" s="299">
        <f t="shared" si="2"/>
        <v>57549</v>
      </c>
      <c r="P133" s="62"/>
      <c r="Q133" s="290"/>
    </row>
    <row r="134" spans="1:17" s="29" customFormat="1" ht="12.75">
      <c r="A134" s="23" t="s">
        <v>64</v>
      </c>
      <c r="B134" s="250" t="s">
        <v>187</v>
      </c>
      <c r="C134" s="513">
        <f>Jul20!O134</f>
        <v>0</v>
      </c>
      <c r="D134" s="301">
        <f>Jul20!P134</f>
        <v>0</v>
      </c>
      <c r="E134" s="326"/>
      <c r="F134" s="62"/>
      <c r="G134" s="27"/>
      <c r="H134" s="28"/>
      <c r="I134" s="25"/>
      <c r="J134" s="26"/>
      <c r="K134" s="27"/>
      <c r="L134" s="28"/>
      <c r="M134" s="27"/>
      <c r="N134" s="26"/>
      <c r="O134" s="299">
        <f t="shared" si="2"/>
        <v>0</v>
      </c>
      <c r="P134" s="62"/>
      <c r="Q134" s="290"/>
    </row>
    <row r="135" spans="1:17" s="29" customFormat="1" ht="12.75">
      <c r="A135" s="23" t="s">
        <v>587</v>
      </c>
      <c r="B135" s="250" t="s">
        <v>586</v>
      </c>
      <c r="C135" s="513">
        <f>Jul20!O135</f>
        <v>0</v>
      </c>
      <c r="D135" s="301">
        <f>Jul20!P135</f>
        <v>0</v>
      </c>
      <c r="E135" s="326"/>
      <c r="F135" s="62"/>
      <c r="G135" s="27"/>
      <c r="H135" s="28"/>
      <c r="I135" s="25"/>
      <c r="J135" s="26"/>
      <c r="K135" s="27"/>
      <c r="L135" s="28"/>
      <c r="M135" s="27"/>
      <c r="N135" s="26"/>
      <c r="O135" s="299">
        <f t="shared" si="2"/>
        <v>0</v>
      </c>
      <c r="P135" s="62"/>
      <c r="Q135" s="290"/>
    </row>
    <row r="136" spans="1:17" s="29" customFormat="1" ht="12.75">
      <c r="A136" s="23" t="s">
        <v>233</v>
      </c>
      <c r="B136" s="250" t="s">
        <v>232</v>
      </c>
      <c r="C136" s="513">
        <f>Jul20!O136</f>
        <v>68694784.77</v>
      </c>
      <c r="D136" s="301">
        <f>Jul20!P136</f>
        <v>0</v>
      </c>
      <c r="E136" s="326">
        <v>4270042.75</v>
      </c>
      <c r="F136" s="62"/>
      <c r="G136" s="27"/>
      <c r="H136" s="28"/>
      <c r="I136" s="25"/>
      <c r="J136" s="26"/>
      <c r="K136" s="27"/>
      <c r="L136" s="28"/>
      <c r="M136" s="27"/>
      <c r="N136" s="26"/>
      <c r="O136" s="299">
        <f t="shared" si="2"/>
        <v>72964827.52</v>
      </c>
      <c r="P136" s="62"/>
      <c r="Q136" s="290"/>
    </row>
    <row r="137" spans="1:17" s="29" customFormat="1" ht="12.75">
      <c r="A137" s="23" t="s">
        <v>69</v>
      </c>
      <c r="B137" s="250" t="s">
        <v>191</v>
      </c>
      <c r="C137" s="513">
        <f>Jul20!O137</f>
        <v>0</v>
      </c>
      <c r="D137" s="301">
        <f>Jul20!P137</f>
        <v>0</v>
      </c>
      <c r="E137" s="326"/>
      <c r="F137" s="62"/>
      <c r="G137" s="27"/>
      <c r="H137" s="28"/>
      <c r="I137" s="25"/>
      <c r="J137" s="26"/>
      <c r="K137" s="27"/>
      <c r="L137" s="28"/>
      <c r="M137" s="27"/>
      <c r="N137" s="26"/>
      <c r="O137" s="299">
        <f t="shared" si="2"/>
        <v>0</v>
      </c>
      <c r="P137" s="62"/>
      <c r="Q137" s="290"/>
    </row>
    <row r="138" spans="1:17" s="29" customFormat="1" ht="12.75">
      <c r="A138" s="23" t="s">
        <v>211</v>
      </c>
      <c r="B138" s="250" t="s">
        <v>212</v>
      </c>
      <c r="C138" s="513">
        <f>Jul20!O138</f>
        <v>0</v>
      </c>
      <c r="D138" s="301">
        <f>Jul20!P138</f>
        <v>0</v>
      </c>
      <c r="E138" s="326"/>
      <c r="F138" s="62"/>
      <c r="G138" s="27"/>
      <c r="H138" s="28"/>
      <c r="I138" s="25"/>
      <c r="J138" s="26"/>
      <c r="K138" s="27"/>
      <c r="L138" s="28"/>
      <c r="M138" s="27"/>
      <c r="N138" s="26"/>
      <c r="O138" s="299">
        <f t="shared" si="2"/>
        <v>0</v>
      </c>
      <c r="P138" s="62"/>
      <c r="Q138" s="290"/>
    </row>
    <row r="139" spans="1:17" s="29" customFormat="1" ht="12.75">
      <c r="A139" s="23" t="s">
        <v>540</v>
      </c>
      <c r="B139" s="250" t="s">
        <v>523</v>
      </c>
      <c r="C139" s="513">
        <f>Jul20!O139</f>
        <v>0</v>
      </c>
      <c r="D139" s="301">
        <f>Jul20!P139</f>
        <v>0</v>
      </c>
      <c r="E139" s="326"/>
      <c r="F139" s="62"/>
      <c r="G139" s="27"/>
      <c r="H139" s="28"/>
      <c r="I139" s="25"/>
      <c r="J139" s="26"/>
      <c r="K139" s="27"/>
      <c r="L139" s="28"/>
      <c r="M139" s="27"/>
      <c r="N139" s="26"/>
      <c r="O139" s="299">
        <f t="shared" si="2"/>
        <v>0</v>
      </c>
      <c r="P139" s="62"/>
      <c r="Q139" s="290"/>
    </row>
    <row r="140" spans="1:17" s="29" customFormat="1" ht="12.75">
      <c r="A140" s="23" t="s">
        <v>73</v>
      </c>
      <c r="B140" s="250" t="s">
        <v>192</v>
      </c>
      <c r="C140" s="513">
        <f>Jul20!O140</f>
        <v>109152.1</v>
      </c>
      <c r="D140" s="301">
        <f>Jul20!P140</f>
        <v>0</v>
      </c>
      <c r="E140" s="326">
        <v>66124.8</v>
      </c>
      <c r="F140" s="62"/>
      <c r="G140" s="27"/>
      <c r="H140" s="28"/>
      <c r="I140" s="25"/>
      <c r="J140" s="26"/>
      <c r="K140" s="27"/>
      <c r="L140" s="28"/>
      <c r="M140" s="27"/>
      <c r="N140" s="26"/>
      <c r="O140" s="299">
        <f t="shared" si="2"/>
        <v>175276.90000000002</v>
      </c>
      <c r="P140" s="62"/>
      <c r="Q140" s="290"/>
    </row>
    <row r="141" spans="1:17" s="29" customFormat="1" ht="12.75">
      <c r="A141" s="23" t="s">
        <v>38</v>
      </c>
      <c r="B141" s="250" t="s">
        <v>175</v>
      </c>
      <c r="C141" s="513">
        <f>Jul20!O141</f>
        <v>0</v>
      </c>
      <c r="D141" s="301">
        <f>Jul20!P141</f>
        <v>0</v>
      </c>
      <c r="E141" s="326"/>
      <c r="F141" s="62"/>
      <c r="G141" s="27"/>
      <c r="H141" s="28"/>
      <c r="I141" s="25"/>
      <c r="J141" s="26"/>
      <c r="K141" s="27"/>
      <c r="L141" s="28"/>
      <c r="M141" s="27"/>
      <c r="N141" s="26"/>
      <c r="O141" s="299">
        <f t="shared" si="2"/>
        <v>0</v>
      </c>
      <c r="P141" s="115"/>
      <c r="Q141" s="290"/>
    </row>
    <row r="142" spans="1:17" s="29" customFormat="1" ht="12.75">
      <c r="A142" s="23" t="s">
        <v>62</v>
      </c>
      <c r="B142" s="250" t="s">
        <v>176</v>
      </c>
      <c r="C142" s="513">
        <f>Jul20!O142</f>
        <v>0</v>
      </c>
      <c r="D142" s="301">
        <f>Jul20!P142</f>
        <v>0</v>
      </c>
      <c r="E142" s="326"/>
      <c r="F142" s="62"/>
      <c r="G142" s="27"/>
      <c r="H142" s="28"/>
      <c r="I142" s="25"/>
      <c r="J142" s="26"/>
      <c r="K142" s="27"/>
      <c r="L142" s="28"/>
      <c r="M142" s="27"/>
      <c r="N142" s="26"/>
      <c r="O142" s="299">
        <f t="shared" si="2"/>
        <v>0</v>
      </c>
      <c r="P142" s="62"/>
      <c r="Q142" s="290"/>
    </row>
    <row r="143" spans="1:17" s="29" customFormat="1" ht="12.75">
      <c r="A143" s="23" t="s">
        <v>63</v>
      </c>
      <c r="B143" s="250" t="s">
        <v>177</v>
      </c>
      <c r="C143" s="513">
        <f>Jul20!O143</f>
        <v>2130</v>
      </c>
      <c r="D143" s="301">
        <f>Jul20!P143</f>
        <v>0</v>
      </c>
      <c r="E143" s="326">
        <v>100</v>
      </c>
      <c r="F143" s="62"/>
      <c r="G143" s="27"/>
      <c r="H143" s="28"/>
      <c r="I143" s="25"/>
      <c r="J143" s="26"/>
      <c r="K143" s="27"/>
      <c r="L143" s="28"/>
      <c r="M143" s="326"/>
      <c r="N143" s="25"/>
      <c r="O143" s="299">
        <f t="shared" si="2"/>
        <v>2230</v>
      </c>
      <c r="P143" s="115"/>
      <c r="Q143" s="290"/>
    </row>
    <row r="144" spans="1:17" s="29" customFormat="1" ht="12.75">
      <c r="A144" s="23" t="s">
        <v>560</v>
      </c>
      <c r="B144" s="250" t="s">
        <v>561</v>
      </c>
      <c r="C144" s="513">
        <f>Jul20!O144</f>
        <v>0</v>
      </c>
      <c r="D144" s="301">
        <f>Jul20!P144</f>
        <v>0</v>
      </c>
      <c r="E144" s="326"/>
      <c r="F144" s="62"/>
      <c r="G144" s="326"/>
      <c r="H144" s="62"/>
      <c r="I144" s="326"/>
      <c r="J144" s="25"/>
      <c r="K144" s="326"/>
      <c r="L144" s="62"/>
      <c r="M144" s="326"/>
      <c r="N144" s="25"/>
      <c r="O144" s="299">
        <f t="shared" si="2"/>
        <v>0</v>
      </c>
      <c r="P144" s="115"/>
      <c r="Q144" s="490"/>
    </row>
    <row r="145" spans="1:17" s="29" customFormat="1" ht="12.75">
      <c r="A145" s="23" t="s">
        <v>53</v>
      </c>
      <c r="B145" s="250" t="s">
        <v>528</v>
      </c>
      <c r="C145" s="513">
        <f>Jul20!O145</f>
        <v>461176.47</v>
      </c>
      <c r="D145" s="301">
        <f>Jul20!P145</f>
        <v>0</v>
      </c>
      <c r="E145" s="326"/>
      <c r="F145" s="62"/>
      <c r="G145" s="326"/>
      <c r="H145" s="62"/>
      <c r="I145" s="326"/>
      <c r="J145" s="25"/>
      <c r="K145" s="326"/>
      <c r="L145" s="62"/>
      <c r="M145" s="326"/>
      <c r="N145" s="25"/>
      <c r="O145" s="299">
        <f t="shared" si="2"/>
        <v>461176.47</v>
      </c>
      <c r="P145" s="115"/>
      <c r="Q145" s="490"/>
    </row>
    <row r="146" spans="1:17" s="29" customFormat="1" ht="12.75">
      <c r="A146" s="23" t="s">
        <v>701</v>
      </c>
      <c r="B146" s="250" t="s">
        <v>702</v>
      </c>
      <c r="C146" s="513">
        <f>Jul20!O146</f>
        <v>0</v>
      </c>
      <c r="D146" s="301">
        <f>Jul20!P146</f>
        <v>0</v>
      </c>
      <c r="E146" s="326"/>
      <c r="F146" s="62"/>
      <c r="G146" s="326"/>
      <c r="H146" s="62"/>
      <c r="I146" s="326"/>
      <c r="J146" s="25"/>
      <c r="K146" s="326"/>
      <c r="L146" s="62"/>
      <c r="M146" s="326"/>
      <c r="N146" s="25"/>
      <c r="O146" s="299">
        <f t="shared" si="2"/>
        <v>0</v>
      </c>
      <c r="P146" s="115"/>
      <c r="Q146" s="490"/>
    </row>
    <row r="147" spans="1:17" s="29" customFormat="1" ht="12.75" hidden="1">
      <c r="A147" s="23" t="s">
        <v>68</v>
      </c>
      <c r="B147" s="250" t="s">
        <v>174</v>
      </c>
      <c r="C147" s="513">
        <f>Jul20!O147</f>
        <v>0</v>
      </c>
      <c r="D147" s="301">
        <f>Jul20!P147</f>
        <v>0</v>
      </c>
      <c r="E147" s="326"/>
      <c r="F147" s="62"/>
      <c r="G147" s="326"/>
      <c r="H147" s="62"/>
      <c r="I147" s="326"/>
      <c r="J147" s="25"/>
      <c r="K147" s="326"/>
      <c r="L147" s="62"/>
      <c r="M147" s="326"/>
      <c r="N147" s="25"/>
      <c r="O147" s="299">
        <f t="shared" si="2"/>
        <v>0</v>
      </c>
      <c r="P147" s="115"/>
      <c r="Q147" s="490"/>
    </row>
    <row r="148" spans="1:17" s="29" customFormat="1" ht="12.75" hidden="1">
      <c r="A148" s="23" t="s">
        <v>244</v>
      </c>
      <c r="B148" s="250" t="s">
        <v>237</v>
      </c>
      <c r="C148" s="513">
        <f>Jul20!O148</f>
        <v>0</v>
      </c>
      <c r="D148" s="301">
        <f>Jul20!P148</f>
        <v>0</v>
      </c>
      <c r="E148" s="326"/>
      <c r="F148" s="62"/>
      <c r="G148" s="326"/>
      <c r="H148" s="62"/>
      <c r="I148" s="326"/>
      <c r="J148" s="25"/>
      <c r="K148" s="326"/>
      <c r="L148" s="62"/>
      <c r="M148" s="326"/>
      <c r="N148" s="25"/>
      <c r="O148" s="299">
        <f t="shared" si="2"/>
        <v>0</v>
      </c>
      <c r="P148" s="115"/>
      <c r="Q148" s="490"/>
    </row>
    <row r="149" spans="1:17" s="29" customFormat="1" ht="12.75">
      <c r="A149" s="23" t="s">
        <v>23</v>
      </c>
      <c r="B149" s="250" t="s">
        <v>524</v>
      </c>
      <c r="C149" s="513">
        <f>Jul20!O149</f>
        <v>542674.6900000001</v>
      </c>
      <c r="D149" s="301">
        <f>Jul20!P149</f>
        <v>0</v>
      </c>
      <c r="E149" s="326">
        <v>193133.54</v>
      </c>
      <c r="F149" s="62"/>
      <c r="G149" s="326"/>
      <c r="H149" s="62"/>
      <c r="I149" s="326"/>
      <c r="J149" s="25"/>
      <c r="K149" s="326"/>
      <c r="L149" s="62"/>
      <c r="M149" s="326"/>
      <c r="N149" s="25"/>
      <c r="O149" s="299">
        <f t="shared" si="2"/>
        <v>735808.2300000001</v>
      </c>
      <c r="P149" s="115"/>
      <c r="Q149" s="490"/>
    </row>
    <row r="150" spans="1:17" s="29" customFormat="1" ht="12.75">
      <c r="A150" s="23" t="s">
        <v>245</v>
      </c>
      <c r="B150" s="250" t="s">
        <v>525</v>
      </c>
      <c r="C150" s="513">
        <f>Jul20!O150</f>
        <v>0</v>
      </c>
      <c r="D150" s="301">
        <f>Jul20!P150</f>
        <v>0</v>
      </c>
      <c r="E150" s="326"/>
      <c r="F150" s="62"/>
      <c r="G150" s="326"/>
      <c r="H150" s="62"/>
      <c r="I150" s="326"/>
      <c r="J150" s="25"/>
      <c r="K150" s="326"/>
      <c r="L150" s="62"/>
      <c r="M150" s="326"/>
      <c r="N150" s="25"/>
      <c r="O150" s="299">
        <f aca="true" t="shared" si="3" ref="O150:O157">C150+E150+I150+M150-D150-F150-J150-N150+G150-H150+K150-L150</f>
        <v>0</v>
      </c>
      <c r="P150" s="115"/>
      <c r="Q150" s="490"/>
    </row>
    <row r="151" spans="1:17" s="29" customFormat="1" ht="12.75">
      <c r="A151" s="8" t="s">
        <v>214</v>
      </c>
      <c r="B151" s="250" t="s">
        <v>574</v>
      </c>
      <c r="C151" s="513">
        <f>Jul20!O151</f>
        <v>0</v>
      </c>
      <c r="D151" s="301">
        <f>Jul20!P151</f>
        <v>0</v>
      </c>
      <c r="E151" s="326"/>
      <c r="F151" s="62"/>
      <c r="G151" s="326"/>
      <c r="H151" s="62"/>
      <c r="I151" s="326"/>
      <c r="J151" s="25"/>
      <c r="K151" s="326"/>
      <c r="L151" s="62"/>
      <c r="M151" s="326"/>
      <c r="N151" s="25"/>
      <c r="O151" s="299">
        <f t="shared" si="3"/>
        <v>0</v>
      </c>
      <c r="P151" s="115"/>
      <c r="Q151" s="490"/>
    </row>
    <row r="152" spans="1:17" s="29" customFormat="1" ht="12.75">
      <c r="A152" s="8" t="s">
        <v>77</v>
      </c>
      <c r="B152" s="250" t="s">
        <v>575</v>
      </c>
      <c r="C152" s="513">
        <f>Jul20!O152</f>
        <v>0</v>
      </c>
      <c r="D152" s="301">
        <f>Jul20!P152</f>
        <v>0</v>
      </c>
      <c r="E152" s="326"/>
      <c r="F152" s="62"/>
      <c r="G152" s="326"/>
      <c r="H152" s="62"/>
      <c r="I152" s="326"/>
      <c r="J152" s="25"/>
      <c r="K152" s="326"/>
      <c r="L152" s="62"/>
      <c r="M152" s="326"/>
      <c r="N152" s="25"/>
      <c r="O152" s="299">
        <f t="shared" si="3"/>
        <v>0</v>
      </c>
      <c r="P152" s="115"/>
      <c r="Q152" s="490"/>
    </row>
    <row r="153" spans="1:17" s="29" customFormat="1" ht="12.75">
      <c r="A153" s="8" t="s">
        <v>78</v>
      </c>
      <c r="B153" s="250" t="s">
        <v>576</v>
      </c>
      <c r="C153" s="513">
        <f>Jul20!O153</f>
        <v>0</v>
      </c>
      <c r="D153" s="301">
        <f>Jul20!P153</f>
        <v>0</v>
      </c>
      <c r="E153" s="326"/>
      <c r="F153" s="62"/>
      <c r="G153" s="326"/>
      <c r="H153" s="62"/>
      <c r="I153" s="326"/>
      <c r="J153" s="25"/>
      <c r="K153" s="326"/>
      <c r="L153" s="62"/>
      <c r="M153" s="326"/>
      <c r="N153" s="25"/>
      <c r="O153" s="299">
        <f t="shared" si="3"/>
        <v>0</v>
      </c>
      <c r="P153" s="115"/>
      <c r="Q153" s="490"/>
    </row>
    <row r="154" spans="1:17" s="29" customFormat="1" ht="12.75">
      <c r="A154" s="8" t="s">
        <v>801</v>
      </c>
      <c r="B154" s="250" t="s">
        <v>802</v>
      </c>
      <c r="C154" s="513">
        <f>Jul20!O154</f>
        <v>213360.76</v>
      </c>
      <c r="D154" s="301">
        <f>Jul20!P154</f>
        <v>0</v>
      </c>
      <c r="E154" s="326"/>
      <c r="F154" s="62"/>
      <c r="G154" s="326"/>
      <c r="H154" s="62"/>
      <c r="I154" s="326"/>
      <c r="J154" s="25"/>
      <c r="K154" s="326"/>
      <c r="L154" s="62"/>
      <c r="M154" s="326">
        <v>109602.53</v>
      </c>
      <c r="N154" s="25"/>
      <c r="O154" s="299">
        <f t="shared" si="3"/>
        <v>322963.29000000004</v>
      </c>
      <c r="P154" s="115"/>
      <c r="Q154" s="490"/>
    </row>
    <row r="155" spans="1:16" s="29" customFormat="1" ht="12.75">
      <c r="A155" s="8" t="s">
        <v>578</v>
      </c>
      <c r="B155" s="250" t="s">
        <v>579</v>
      </c>
      <c r="C155" s="513">
        <f>Jul20!O155</f>
        <v>0</v>
      </c>
      <c r="D155" s="301">
        <f>Jul20!P155</f>
        <v>0</v>
      </c>
      <c r="E155" s="326"/>
      <c r="F155" s="62"/>
      <c r="G155" s="326"/>
      <c r="H155" s="62"/>
      <c r="I155" s="63"/>
      <c r="J155" s="25"/>
      <c r="K155" s="326"/>
      <c r="L155" s="62"/>
      <c r="M155" s="326"/>
      <c r="N155" s="25"/>
      <c r="O155" s="299">
        <f t="shared" si="3"/>
        <v>0</v>
      </c>
      <c r="P155" s="62"/>
    </row>
    <row r="156" spans="1:16" s="29" customFormat="1" ht="12.75">
      <c r="A156" s="8" t="s">
        <v>580</v>
      </c>
      <c r="B156" s="250" t="s">
        <v>581</v>
      </c>
      <c r="C156" s="513">
        <f>Jul20!O156</f>
        <v>0</v>
      </c>
      <c r="D156" s="301">
        <f>Jul20!P156</f>
        <v>0</v>
      </c>
      <c r="E156" s="326"/>
      <c r="F156" s="62"/>
      <c r="G156" s="61"/>
      <c r="H156" s="62"/>
      <c r="I156" s="63"/>
      <c r="J156" s="25"/>
      <c r="K156" s="61"/>
      <c r="L156" s="62"/>
      <c r="M156" s="61"/>
      <c r="N156" s="25"/>
      <c r="O156" s="299">
        <f t="shared" si="3"/>
        <v>0</v>
      </c>
      <c r="P156" s="62"/>
    </row>
    <row r="157" spans="1:16" s="29" customFormat="1" ht="13.5" thickBot="1">
      <c r="A157" s="8" t="s">
        <v>82</v>
      </c>
      <c r="B157" s="510" t="s">
        <v>582</v>
      </c>
      <c r="C157" s="514">
        <f>Jul20!O157</f>
        <v>0</v>
      </c>
      <c r="D157" s="495">
        <f>Jul20!P157</f>
        <v>0</v>
      </c>
      <c r="E157" s="338"/>
      <c r="F157" s="226"/>
      <c r="G157" s="61"/>
      <c r="H157" s="62"/>
      <c r="I157" s="63"/>
      <c r="J157" s="25"/>
      <c r="K157" s="61"/>
      <c r="L157" s="62"/>
      <c r="M157" s="61"/>
      <c r="N157" s="25"/>
      <c r="O157" s="493">
        <f t="shared" si="3"/>
        <v>0</v>
      </c>
      <c r="P157" s="62"/>
    </row>
    <row r="158" spans="1:16" s="29" customFormat="1" ht="13.5" thickBot="1">
      <c r="A158" s="123" t="s">
        <v>24</v>
      </c>
      <c r="B158" s="124"/>
      <c r="C158" s="125">
        <f>SUM(C14:C157)</f>
        <v>265582822.02999997</v>
      </c>
      <c r="D158" s="125">
        <f>SUM(D14:D157)</f>
        <v>265582822.03</v>
      </c>
      <c r="E158" s="125">
        <f>SUM(E14:E157)</f>
        <v>7284121.74</v>
      </c>
      <c r="F158" s="125">
        <f>SUM(F14:F157)</f>
        <v>7284121.74</v>
      </c>
      <c r="G158" s="125">
        <f aca="true" t="shared" si="4" ref="G158:P158">SUM(G14:G157)</f>
        <v>0</v>
      </c>
      <c r="H158" s="125">
        <f t="shared" si="4"/>
        <v>0</v>
      </c>
      <c r="I158" s="125">
        <f t="shared" si="4"/>
        <v>0</v>
      </c>
      <c r="J158" s="125">
        <f t="shared" si="4"/>
        <v>0</v>
      </c>
      <c r="K158" s="125">
        <f t="shared" si="4"/>
        <v>0</v>
      </c>
      <c r="L158" s="125">
        <f t="shared" si="4"/>
        <v>0</v>
      </c>
      <c r="M158" s="125">
        <f t="shared" si="4"/>
        <v>2257756.34</v>
      </c>
      <c r="N158" s="125">
        <f t="shared" si="4"/>
        <v>2257756.34</v>
      </c>
      <c r="O158" s="125">
        <f t="shared" si="4"/>
        <v>268040611.4699999</v>
      </c>
      <c r="P158" s="125">
        <f t="shared" si="4"/>
        <v>268040611.47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0" spans="1:16" s="29" customFormat="1" ht="12.75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9"/>
      <c r="P162" s="30"/>
    </row>
    <row r="163" spans="1:16" s="29" customFormat="1" ht="12.7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0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712</v>
      </c>
      <c r="P164" s="30"/>
    </row>
    <row r="165" spans="1:16" s="288" customFormat="1" ht="12.75" customHeight="1">
      <c r="A165" s="16" t="s">
        <v>210</v>
      </c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567" t="s">
        <v>224</v>
      </c>
      <c r="P165" s="567"/>
    </row>
    <row r="168" spans="1:6" ht="12.75">
      <c r="A168" s="291"/>
      <c r="B168" s="231"/>
      <c r="C168" s="29"/>
      <c r="D168" s="29"/>
      <c r="E168" s="29"/>
      <c r="F168" s="29"/>
    </row>
    <row r="169" spans="1:6" ht="12.75">
      <c r="A169" s="291"/>
      <c r="B169" s="231"/>
      <c r="C169" s="29"/>
      <c r="D169" s="29"/>
      <c r="E169" s="29"/>
      <c r="F169" s="29"/>
    </row>
    <row r="170" spans="1:6" ht="12.75">
      <c r="A170" s="29"/>
      <c r="B170" s="290"/>
      <c r="C170" s="29"/>
      <c r="D170" s="29"/>
      <c r="E170" s="29"/>
      <c r="F170" s="29"/>
    </row>
    <row r="171" spans="1:6" ht="12.75">
      <c r="A171" s="29"/>
      <c r="B171" s="290"/>
      <c r="C171" s="29"/>
      <c r="D171" s="29"/>
      <c r="E171" s="25"/>
      <c r="F171" s="307"/>
    </row>
    <row r="172" spans="1:6" ht="12.75">
      <c r="A172" s="29"/>
      <c r="B172" s="290"/>
      <c r="C172" s="29"/>
      <c r="D172" s="29"/>
      <c r="E172" s="25"/>
      <c r="F172" s="307"/>
    </row>
    <row r="173" spans="1:6" ht="12.75">
      <c r="A173" s="29"/>
      <c r="B173" s="290"/>
      <c r="C173" s="29"/>
      <c r="D173" s="29"/>
      <c r="E173" s="25"/>
      <c r="F173" s="307"/>
    </row>
    <row r="174" spans="1:6" ht="12.75">
      <c r="A174" s="29"/>
      <c r="B174" s="290"/>
      <c r="C174" s="29"/>
      <c r="D174" s="29"/>
      <c r="E174" s="25"/>
      <c r="F174" s="25"/>
    </row>
    <row r="175" spans="1:6" ht="12.75">
      <c r="A175" s="308"/>
      <c r="B175" s="309"/>
      <c r="C175" s="29"/>
      <c r="D175" s="29"/>
      <c r="E175" s="25"/>
      <c r="F175" s="25"/>
    </row>
    <row r="176" spans="1:6" ht="12.75">
      <c r="A176" s="29"/>
      <c r="B176" s="290"/>
      <c r="C176" s="29"/>
      <c r="D176" s="29"/>
      <c r="E176" s="25"/>
      <c r="F176" s="25"/>
    </row>
    <row r="177" spans="1:6" ht="12.75">
      <c r="A177" s="29"/>
      <c r="B177" s="290"/>
      <c r="C177" s="29"/>
      <c r="D177" s="29"/>
      <c r="E177" s="25"/>
      <c r="F177" s="25"/>
    </row>
    <row r="178" spans="1:6" ht="12.75">
      <c r="A178" s="29"/>
      <c r="B178" s="290"/>
      <c r="C178" s="29"/>
      <c r="D178" s="29"/>
      <c r="E178" s="25"/>
      <c r="F178" s="25"/>
    </row>
    <row r="179" spans="1:6" ht="12.75">
      <c r="A179" s="29"/>
      <c r="B179" s="290"/>
      <c r="C179" s="29"/>
      <c r="D179" s="29"/>
      <c r="E179" s="25"/>
      <c r="F179" s="25"/>
    </row>
    <row r="180" spans="1:6" ht="12.75">
      <c r="A180" s="29"/>
      <c r="B180" s="290"/>
      <c r="C180" s="29"/>
      <c r="D180" s="29"/>
      <c r="E180" s="25"/>
      <c r="F180" s="25"/>
    </row>
    <row r="181" spans="1:6" ht="12.75">
      <c r="A181" s="29"/>
      <c r="B181" s="290"/>
      <c r="C181" s="29"/>
      <c r="D181" s="29"/>
      <c r="E181" s="25"/>
      <c r="F181" s="25"/>
    </row>
    <row r="182" spans="1:6" ht="12.75">
      <c r="A182" s="29"/>
      <c r="B182" s="290"/>
      <c r="C182" s="29"/>
      <c r="D182" s="29"/>
      <c r="E182" s="25"/>
      <c r="F182" s="25"/>
    </row>
    <row r="183" spans="1:6" ht="12.75">
      <c r="A183" s="29"/>
      <c r="B183" s="290"/>
      <c r="C183" s="29"/>
      <c r="D183" s="29"/>
      <c r="E183" s="25"/>
      <c r="F183" s="25"/>
    </row>
    <row r="184" spans="1:6" ht="12.75">
      <c r="A184" s="29"/>
      <c r="B184" s="290"/>
      <c r="C184" s="29"/>
      <c r="D184" s="29"/>
      <c r="E184" s="25"/>
      <c r="F184" s="25"/>
    </row>
    <row r="185" spans="1:6" ht="12.75">
      <c r="A185" s="29"/>
      <c r="B185" s="290"/>
      <c r="C185" s="29"/>
      <c r="D185" s="29"/>
      <c r="E185" s="25"/>
      <c r="F185" s="25"/>
    </row>
    <row r="186" spans="1:6" ht="12.75">
      <c r="A186" s="29"/>
      <c r="B186" s="290"/>
      <c r="C186" s="29"/>
      <c r="D186" s="29"/>
      <c r="E186" s="25"/>
      <c r="F186" s="25"/>
    </row>
    <row r="187" spans="1:6" ht="12.75">
      <c r="A187" s="29"/>
      <c r="B187" s="290"/>
      <c r="C187" s="29"/>
      <c r="D187" s="29"/>
      <c r="E187" s="25"/>
      <c r="F187" s="25"/>
    </row>
    <row r="188" spans="1:6" ht="12.75">
      <c r="A188" s="29"/>
      <c r="B188" s="290"/>
      <c r="C188" s="29"/>
      <c r="D188" s="29"/>
      <c r="E188" s="25"/>
      <c r="F188" s="25"/>
    </row>
    <row r="189" spans="1:6" ht="12.75">
      <c r="A189" s="29"/>
      <c r="B189" s="290"/>
      <c r="C189" s="29"/>
      <c r="D189" s="29"/>
      <c r="E189" s="25"/>
      <c r="F189" s="25"/>
    </row>
    <row r="190" spans="1:6" ht="12.75">
      <c r="A190" s="29"/>
      <c r="B190" s="290"/>
      <c r="C190" s="29"/>
      <c r="D190" s="29"/>
      <c r="E190" s="25"/>
      <c r="F190" s="25"/>
    </row>
    <row r="191" spans="1:6" ht="12.75">
      <c r="A191" s="29"/>
      <c r="B191" s="290"/>
      <c r="C191" s="29"/>
      <c r="D191" s="29"/>
      <c r="E191" s="25"/>
      <c r="F191" s="25"/>
    </row>
    <row r="192" spans="1:6" ht="12.75">
      <c r="A192" s="29"/>
      <c r="B192" s="290"/>
      <c r="C192" s="29"/>
      <c r="D192" s="29"/>
      <c r="E192" s="25"/>
      <c r="F192" s="25"/>
    </row>
    <row r="193" spans="1:6" ht="12.75">
      <c r="A193" s="29"/>
      <c r="B193" s="290"/>
      <c r="C193" s="29"/>
      <c r="D193" s="29"/>
      <c r="E193" s="25"/>
      <c r="F193" s="25"/>
    </row>
    <row r="194" spans="1:6" ht="12.75">
      <c r="A194" s="29"/>
      <c r="B194" s="290"/>
      <c r="C194" s="29"/>
      <c r="D194" s="29"/>
      <c r="E194" s="25"/>
      <c r="F194" s="25"/>
    </row>
    <row r="195" spans="1:6" ht="12.75">
      <c r="A195" s="310"/>
      <c r="B195" s="290"/>
      <c r="C195" s="29"/>
      <c r="D195" s="29"/>
      <c r="E195" s="25"/>
      <c r="F195" s="25"/>
    </row>
    <row r="196" spans="1:6" ht="12.75">
      <c r="A196" s="3"/>
      <c r="B196" s="231"/>
      <c r="C196" s="29"/>
      <c r="D196" s="29"/>
      <c r="E196" s="25"/>
      <c r="F196" s="25"/>
    </row>
    <row r="197" spans="1:6" ht="12.75">
      <c r="A197" s="291"/>
      <c r="B197" s="231"/>
      <c r="C197" s="29"/>
      <c r="D197" s="29"/>
      <c r="E197" s="25"/>
      <c r="F197" s="25"/>
    </row>
    <row r="198" spans="1:6" ht="12.75">
      <c r="A198" s="3"/>
      <c r="B198" s="231"/>
      <c r="C198" s="29"/>
      <c r="D198" s="29"/>
      <c r="E198" s="25"/>
      <c r="F198" s="25"/>
    </row>
    <row r="199" spans="1:6" ht="12.75">
      <c r="A199" s="29"/>
      <c r="B199" s="290"/>
      <c r="C199" s="29"/>
      <c r="D199" s="29"/>
      <c r="E199" s="25"/>
      <c r="F199" s="25"/>
    </row>
    <row r="200" spans="1:6" ht="12.75">
      <c r="A200" s="29"/>
      <c r="B200" s="290"/>
      <c r="C200" s="29"/>
      <c r="D200" s="29"/>
      <c r="E200" s="25"/>
      <c r="F200" s="25"/>
    </row>
    <row r="201" spans="1:6" ht="12.75">
      <c r="A201" s="308"/>
      <c r="B201" s="309"/>
      <c r="C201" s="29"/>
      <c r="D201" s="29"/>
      <c r="E201" s="25"/>
      <c r="F201" s="25"/>
    </row>
    <row r="202" spans="1:6" ht="12.75">
      <c r="A202" s="29"/>
      <c r="B202" s="290"/>
      <c r="C202" s="29"/>
      <c r="D202" s="29"/>
      <c r="E202" s="25"/>
      <c r="F202" s="25"/>
    </row>
    <row r="203" spans="1:6" ht="12.75">
      <c r="A203" s="29"/>
      <c r="B203" s="290"/>
      <c r="C203" s="29"/>
      <c r="D203" s="29"/>
      <c r="E203" s="25"/>
      <c r="F203" s="25"/>
    </row>
    <row r="204" spans="1:6" ht="12.75">
      <c r="A204" s="308"/>
      <c r="B204" s="309"/>
      <c r="C204" s="29"/>
      <c r="D204" s="29"/>
      <c r="E204" s="25"/>
      <c r="F204" s="25"/>
    </row>
    <row r="205" spans="1:6" ht="12.75">
      <c r="A205" s="290"/>
      <c r="B205" s="290"/>
      <c r="C205" s="29"/>
      <c r="D205" s="29"/>
      <c r="E205" s="25"/>
      <c r="F205" s="25"/>
    </row>
    <row r="206" spans="1:6" ht="12.75">
      <c r="A206" s="3"/>
      <c r="B206" s="231"/>
      <c r="C206" s="29"/>
      <c r="D206" s="29"/>
      <c r="E206" s="25"/>
      <c r="F206" s="25"/>
    </row>
    <row r="207" spans="1:6" ht="12.75">
      <c r="A207" s="291"/>
      <c r="B207" s="231"/>
      <c r="C207" s="29"/>
      <c r="D207" s="29"/>
      <c r="E207" s="25"/>
      <c r="F207" s="25"/>
    </row>
    <row r="208" spans="1:6" ht="12.75">
      <c r="A208" s="291"/>
      <c r="B208" s="231"/>
      <c r="C208" s="29"/>
      <c r="D208" s="29"/>
      <c r="E208" s="25"/>
      <c r="F208" s="25"/>
    </row>
    <row r="209" spans="1:6" ht="12.75">
      <c r="A209" s="29"/>
      <c r="B209" s="290"/>
      <c r="C209" s="29"/>
      <c r="D209" s="29"/>
      <c r="E209" s="25"/>
      <c r="F209" s="25"/>
    </row>
    <row r="210" spans="1:6" ht="12.75">
      <c r="A210" s="29"/>
      <c r="B210" s="231"/>
      <c r="C210" s="29"/>
      <c r="D210" s="29"/>
      <c r="E210" s="25"/>
      <c r="F210" s="25"/>
    </row>
    <row r="211" spans="1:6" ht="12.75">
      <c r="A211" s="29"/>
      <c r="B211" s="231"/>
      <c r="C211" s="29"/>
      <c r="D211" s="29"/>
      <c r="E211" s="25"/>
      <c r="F211" s="25"/>
    </row>
    <row r="212" spans="1:6" ht="12.75">
      <c r="A212" s="291"/>
      <c r="B212" s="231"/>
      <c r="C212" s="29"/>
      <c r="D212" s="29"/>
      <c r="E212" s="25"/>
      <c r="F212" s="25"/>
    </row>
    <row r="213" spans="1:6" ht="12.75">
      <c r="A213" s="3"/>
      <c r="B213" s="231"/>
      <c r="C213" s="29"/>
      <c r="D213" s="29"/>
      <c r="E213" s="25"/>
      <c r="F213" s="25"/>
    </row>
    <row r="214" spans="1:6" ht="12.75">
      <c r="A214" s="290"/>
      <c r="B214" s="290"/>
      <c r="C214" s="29"/>
      <c r="D214" s="29"/>
      <c r="E214" s="25"/>
      <c r="F214" s="25"/>
    </row>
    <row r="215" spans="1:6" ht="12.75">
      <c r="A215" s="29"/>
      <c r="B215" s="290"/>
      <c r="C215" s="29"/>
      <c r="D215" s="29"/>
      <c r="E215" s="25"/>
      <c r="F215" s="25"/>
    </row>
    <row r="216" spans="1:6" ht="12.75">
      <c r="A216" s="29"/>
      <c r="B216" s="290"/>
      <c r="C216" s="29"/>
      <c r="D216" s="29"/>
      <c r="E216" s="25"/>
      <c r="F216" s="25"/>
    </row>
    <row r="217" spans="1:6" ht="12.75">
      <c r="A217" s="29"/>
      <c r="B217" s="290"/>
      <c r="C217" s="29"/>
      <c r="D217" s="29"/>
      <c r="E217" s="25"/>
      <c r="F217" s="25"/>
    </row>
    <row r="218" spans="1:6" ht="12.75">
      <c r="A218" s="290"/>
      <c r="B218" s="290"/>
      <c r="C218" s="29"/>
      <c r="D218" s="29"/>
      <c r="E218" s="25"/>
      <c r="F218" s="25"/>
    </row>
    <row r="219" spans="1:6" ht="12.75">
      <c r="A219" s="29"/>
      <c r="B219" s="290"/>
      <c r="C219" s="29"/>
      <c r="D219" s="29"/>
      <c r="E219" s="25"/>
      <c r="F219" s="25"/>
    </row>
    <row r="220" spans="1:6" ht="12.75">
      <c r="A220" s="29"/>
      <c r="B220" s="290"/>
      <c r="C220" s="29"/>
      <c r="D220" s="29"/>
      <c r="E220" s="25"/>
      <c r="F220" s="25"/>
    </row>
    <row r="221" spans="1:6" ht="12.75">
      <c r="A221" s="29"/>
      <c r="B221" s="290"/>
      <c r="C221" s="29"/>
      <c r="D221" s="29"/>
      <c r="E221" s="25"/>
      <c r="F221" s="25"/>
    </row>
    <row r="222" spans="1:6" ht="12.75">
      <c r="A222" s="29"/>
      <c r="B222" s="290"/>
      <c r="C222" s="29"/>
      <c r="D222" s="29"/>
      <c r="E222" s="25"/>
      <c r="F222" s="25"/>
    </row>
    <row r="223" spans="1:6" ht="12.75">
      <c r="A223" s="29"/>
      <c r="B223" s="290"/>
      <c r="C223" s="29"/>
      <c r="D223" s="29"/>
      <c r="E223" s="25"/>
      <c r="F223" s="25"/>
    </row>
    <row r="224" spans="1:6" ht="12.75">
      <c r="A224" s="29"/>
      <c r="B224" s="290"/>
      <c r="C224" s="29"/>
      <c r="D224" s="29"/>
      <c r="E224" s="25"/>
      <c r="F224" s="25"/>
    </row>
    <row r="225" spans="1:6" ht="12.75">
      <c r="A225" s="29"/>
      <c r="B225" s="290"/>
      <c r="C225" s="29"/>
      <c r="D225" s="29"/>
      <c r="E225" s="25"/>
      <c r="F225" s="25"/>
    </row>
    <row r="226" spans="1:6" ht="12.75">
      <c r="A226" s="29"/>
      <c r="B226" s="290"/>
      <c r="C226" s="29"/>
      <c r="D226" s="29"/>
      <c r="E226" s="25"/>
      <c r="F226" s="25"/>
    </row>
    <row r="227" spans="1:6" ht="12.75">
      <c r="A227" s="29"/>
      <c r="B227" s="290"/>
      <c r="C227" s="29"/>
      <c r="D227" s="29"/>
      <c r="E227" s="25"/>
      <c r="F227" s="25"/>
    </row>
    <row r="228" spans="1:6" ht="12.75">
      <c r="A228" s="29"/>
      <c r="B228" s="290"/>
      <c r="C228" s="29"/>
      <c r="D228" s="29"/>
      <c r="E228" s="25"/>
      <c r="F228" s="25"/>
    </row>
    <row r="229" spans="1:6" ht="12.75">
      <c r="A229" s="29"/>
      <c r="B229" s="290"/>
      <c r="C229" s="29"/>
      <c r="D229" s="29"/>
      <c r="E229" s="25"/>
      <c r="F229" s="25"/>
    </row>
    <row r="230" spans="1:6" ht="12.75">
      <c r="A230" s="29"/>
      <c r="B230" s="290"/>
      <c r="C230" s="29"/>
      <c r="D230" s="29"/>
      <c r="E230" s="25"/>
      <c r="F230" s="25"/>
    </row>
    <row r="231" spans="1:6" ht="12.75">
      <c r="A231" s="29"/>
      <c r="B231" s="290"/>
      <c r="C231" s="29"/>
      <c r="D231" s="29"/>
      <c r="E231" s="25"/>
      <c r="F231" s="25"/>
    </row>
    <row r="232" spans="1:6" ht="12.75">
      <c r="A232" s="29"/>
      <c r="B232" s="290"/>
      <c r="C232" s="29"/>
      <c r="D232" s="29"/>
      <c r="E232" s="25"/>
      <c r="F232" s="25"/>
    </row>
    <row r="233" spans="1:6" ht="12.75">
      <c r="A233" s="29"/>
      <c r="B233" s="290"/>
      <c r="C233" s="29"/>
      <c r="D233" s="29"/>
      <c r="E233" s="25"/>
      <c r="F233" s="25"/>
    </row>
    <row r="234" spans="1:6" ht="12.75">
      <c r="A234" s="29"/>
      <c r="B234" s="290"/>
      <c r="C234" s="29"/>
      <c r="D234" s="29"/>
      <c r="E234" s="25"/>
      <c r="F234" s="25"/>
    </row>
    <row r="235" spans="1:6" ht="12.75">
      <c r="A235" s="29"/>
      <c r="B235" s="290"/>
      <c r="C235" s="29"/>
      <c r="D235" s="29"/>
      <c r="E235" s="25"/>
      <c r="F235" s="25"/>
    </row>
    <row r="236" spans="1:6" ht="12.75">
      <c r="A236" s="29"/>
      <c r="B236" s="290"/>
      <c r="C236" s="29"/>
      <c r="D236" s="29"/>
      <c r="E236" s="25"/>
      <c r="F236" s="25"/>
    </row>
    <row r="237" spans="1:6" ht="12.75">
      <c r="A237" s="29"/>
      <c r="B237" s="290"/>
      <c r="C237" s="29"/>
      <c r="D237" s="29"/>
      <c r="E237" s="25"/>
      <c r="F237" s="25"/>
    </row>
    <row r="238" spans="1:6" ht="12.75">
      <c r="A238" s="29"/>
      <c r="B238" s="290"/>
      <c r="C238" s="29"/>
      <c r="D238" s="29"/>
      <c r="E238" s="25"/>
      <c r="F238" s="25"/>
    </row>
    <row r="239" spans="1:6" ht="12.75">
      <c r="A239" s="29"/>
      <c r="B239" s="292"/>
      <c r="C239" s="29"/>
      <c r="D239" s="29"/>
      <c r="E239" s="25"/>
      <c r="F239" s="25"/>
    </row>
    <row r="240" spans="1:6" ht="12.75">
      <c r="A240" s="29"/>
      <c r="B240" s="290"/>
      <c r="C240" s="29"/>
      <c r="D240" s="29"/>
      <c r="E240" s="25"/>
      <c r="F240" s="25"/>
    </row>
    <row r="241" spans="1:6" ht="12.75">
      <c r="A241" s="29"/>
      <c r="B241" s="290"/>
      <c r="C241" s="29"/>
      <c r="D241" s="29"/>
      <c r="E241" s="25"/>
      <c r="F241" s="25"/>
    </row>
    <row r="242" spans="1:6" ht="12.75">
      <c r="A242" s="29"/>
      <c r="B242" s="290"/>
      <c r="C242" s="29"/>
      <c r="D242" s="29"/>
      <c r="E242" s="25"/>
      <c r="F242" s="25"/>
    </row>
    <row r="243" spans="1:6" ht="12.75">
      <c r="A243" s="29"/>
      <c r="B243" s="290"/>
      <c r="C243" s="29"/>
      <c r="D243" s="29"/>
      <c r="E243" s="25"/>
      <c r="F243" s="25"/>
    </row>
    <row r="244" spans="1:6" ht="12.75">
      <c r="A244" s="29"/>
      <c r="B244" s="290"/>
      <c r="C244" s="29"/>
      <c r="D244" s="29"/>
      <c r="E244" s="25"/>
      <c r="F244" s="25"/>
    </row>
    <row r="245" spans="1:6" ht="12.75">
      <c r="A245" s="29"/>
      <c r="B245" s="290"/>
      <c r="C245" s="29"/>
      <c r="D245" s="29"/>
      <c r="E245" s="25"/>
      <c r="F245" s="25"/>
    </row>
    <row r="246" spans="1:6" ht="12.75">
      <c r="A246" s="29"/>
      <c r="B246" s="290"/>
      <c r="C246" s="29"/>
      <c r="D246" s="29"/>
      <c r="E246" s="25"/>
      <c r="F246" s="25"/>
    </row>
    <row r="247" spans="1:6" ht="12.75">
      <c r="A247" s="29"/>
      <c r="B247" s="290"/>
      <c r="C247" s="29"/>
      <c r="D247" s="29"/>
      <c r="E247" s="25"/>
      <c r="F247" s="25"/>
    </row>
    <row r="248" spans="1:6" ht="12.75">
      <c r="A248" s="29"/>
      <c r="B248" s="290"/>
      <c r="C248" s="29"/>
      <c r="D248" s="29"/>
      <c r="E248" s="25"/>
      <c r="F248" s="25"/>
    </row>
    <row r="249" spans="1:6" ht="12.75">
      <c r="A249" s="29"/>
      <c r="B249" s="290"/>
      <c r="C249" s="29"/>
      <c r="D249" s="29"/>
      <c r="E249" s="25"/>
      <c r="F249" s="25"/>
    </row>
    <row r="250" spans="1:6" ht="12.75">
      <c r="A250" s="29"/>
      <c r="B250" s="290"/>
      <c r="C250" s="29"/>
      <c r="D250" s="29"/>
      <c r="E250" s="25"/>
      <c r="F250" s="25"/>
    </row>
    <row r="251" spans="1:6" ht="12.75">
      <c r="A251" s="29"/>
      <c r="B251" s="290"/>
      <c r="C251" s="29"/>
      <c r="D251" s="29"/>
      <c r="E251" s="25"/>
      <c r="F251" s="25"/>
    </row>
    <row r="252" spans="1:6" ht="12.75">
      <c r="A252" s="29"/>
      <c r="B252" s="290"/>
      <c r="C252" s="29"/>
      <c r="D252" s="29"/>
      <c r="E252" s="25"/>
      <c r="F252" s="25"/>
    </row>
    <row r="253" spans="1:6" ht="12.75">
      <c r="A253" s="29"/>
      <c r="B253" s="290"/>
      <c r="C253" s="29"/>
      <c r="D253" s="29"/>
      <c r="E253" s="25"/>
      <c r="F253" s="25"/>
    </row>
    <row r="254" spans="1:6" ht="12.75">
      <c r="A254" s="29"/>
      <c r="B254" s="290"/>
      <c r="C254" s="29"/>
      <c r="D254" s="29"/>
      <c r="E254" s="25"/>
      <c r="F254" s="25"/>
    </row>
    <row r="255" spans="1:6" ht="12.75">
      <c r="A255" s="29"/>
      <c r="B255" s="290"/>
      <c r="C255" s="29"/>
      <c r="D255" s="29"/>
      <c r="E255" s="25"/>
      <c r="F255" s="25"/>
    </row>
    <row r="256" spans="1:6" ht="12.75">
      <c r="A256" s="29"/>
      <c r="B256" s="290"/>
      <c r="C256" s="29"/>
      <c r="D256" s="29"/>
      <c r="E256" s="25"/>
      <c r="F256" s="25"/>
    </row>
    <row r="257" spans="1:6" ht="12.75">
      <c r="A257" s="29"/>
      <c r="B257" s="290"/>
      <c r="C257" s="29"/>
      <c r="D257" s="29"/>
      <c r="E257" s="25"/>
      <c r="F257" s="25"/>
    </row>
    <row r="258" spans="1:6" ht="12.75">
      <c r="A258" s="29"/>
      <c r="B258" s="290"/>
      <c r="C258" s="29"/>
      <c r="D258" s="29"/>
      <c r="E258" s="25"/>
      <c r="F258" s="25"/>
    </row>
    <row r="259" spans="1:6" ht="12.75">
      <c r="A259" s="29"/>
      <c r="B259" s="290"/>
      <c r="C259" s="29"/>
      <c r="D259" s="29"/>
      <c r="E259" s="25"/>
      <c r="F259" s="25"/>
    </row>
    <row r="260" spans="1:6" ht="12.75">
      <c r="A260" s="29"/>
      <c r="B260" s="290"/>
      <c r="C260" s="29"/>
      <c r="D260" s="29"/>
      <c r="E260" s="25"/>
      <c r="F260" s="25"/>
    </row>
    <row r="261" spans="1:6" ht="12.75">
      <c r="A261" s="29"/>
      <c r="B261" s="290"/>
      <c r="C261" s="29"/>
      <c r="D261" s="29"/>
      <c r="E261" s="25"/>
      <c r="F261" s="25"/>
    </row>
    <row r="262" spans="1:6" ht="12.75">
      <c r="A262" s="29"/>
      <c r="B262" s="290"/>
      <c r="C262" s="29"/>
      <c r="D262" s="29"/>
      <c r="E262" s="25"/>
      <c r="F262" s="25"/>
    </row>
    <row r="263" spans="1:6" ht="12.75">
      <c r="A263" s="29"/>
      <c r="B263" s="290"/>
      <c r="C263" s="29"/>
      <c r="D263" s="29"/>
      <c r="E263" s="25"/>
      <c r="F263" s="25"/>
    </row>
    <row r="264" spans="1:6" ht="12.75">
      <c r="A264" s="29"/>
      <c r="B264" s="290"/>
      <c r="C264" s="29"/>
      <c r="D264" s="29"/>
      <c r="E264" s="25"/>
      <c r="F264" s="25"/>
    </row>
    <row r="265" spans="1:6" ht="12.75">
      <c r="A265" s="29"/>
      <c r="B265" s="290"/>
      <c r="C265" s="29"/>
      <c r="D265" s="29"/>
      <c r="E265" s="25"/>
      <c r="F265" s="25"/>
    </row>
    <row r="266" spans="1:6" ht="12.75">
      <c r="A266" s="29"/>
      <c r="B266" s="290"/>
      <c r="C266" s="29"/>
      <c r="D266" s="29"/>
      <c r="E266" s="25"/>
      <c r="F266" s="25"/>
    </row>
    <row r="267" spans="1:6" ht="12.75">
      <c r="A267" s="29"/>
      <c r="B267" s="290"/>
      <c r="C267" s="29"/>
      <c r="D267" s="29"/>
      <c r="E267" s="25"/>
      <c r="F267" s="25"/>
    </row>
    <row r="268" spans="1:6" ht="12.75">
      <c r="A268" s="29"/>
      <c r="B268" s="290"/>
      <c r="C268" s="29"/>
      <c r="D268" s="29"/>
      <c r="E268" s="25"/>
      <c r="F268" s="25"/>
    </row>
    <row r="269" spans="1:6" ht="12.75">
      <c r="A269" s="29"/>
      <c r="B269" s="290"/>
      <c r="C269" s="29"/>
      <c r="D269" s="29"/>
      <c r="E269" s="25"/>
      <c r="F269" s="25"/>
    </row>
    <row r="270" spans="1:6" ht="12.75">
      <c r="A270" s="29"/>
      <c r="B270" s="290"/>
      <c r="C270" s="29"/>
      <c r="D270" s="29"/>
      <c r="E270" s="25"/>
      <c r="F270" s="25"/>
    </row>
    <row r="271" spans="1:6" ht="12.75">
      <c r="A271" s="29"/>
      <c r="B271" s="290"/>
      <c r="C271" s="29"/>
      <c r="D271" s="29"/>
      <c r="E271" s="25"/>
      <c r="F271" s="25"/>
    </row>
    <row r="272" spans="1:6" ht="12.75">
      <c r="A272" s="29"/>
      <c r="B272" s="290"/>
      <c r="C272" s="29"/>
      <c r="D272" s="29"/>
      <c r="E272" s="25"/>
      <c r="F272" s="25"/>
    </row>
    <row r="273" spans="1:6" ht="12.75">
      <c r="A273" s="29"/>
      <c r="B273" s="290"/>
      <c r="C273" s="29"/>
      <c r="D273" s="29"/>
      <c r="E273" s="25"/>
      <c r="F273" s="25"/>
    </row>
    <row r="274" spans="1:6" ht="12.75">
      <c r="A274" s="29"/>
      <c r="B274" s="290"/>
      <c r="C274" s="29"/>
      <c r="D274" s="29"/>
      <c r="E274" s="25"/>
      <c r="F274" s="25"/>
    </row>
    <row r="275" spans="1:6" ht="12.75">
      <c r="A275" s="29"/>
      <c r="B275" s="290"/>
      <c r="C275" s="29"/>
      <c r="D275" s="29"/>
      <c r="E275" s="25"/>
      <c r="F275" s="25"/>
    </row>
    <row r="276" spans="1:6" ht="12.75">
      <c r="A276" s="29"/>
      <c r="B276" s="290"/>
      <c r="C276" s="29"/>
      <c r="D276" s="29"/>
      <c r="E276" s="25"/>
      <c r="F276" s="25"/>
    </row>
    <row r="277" spans="1:6" ht="12.75">
      <c r="A277" s="29"/>
      <c r="B277" s="290"/>
      <c r="C277" s="29"/>
      <c r="D277" s="29"/>
      <c r="E277" s="25"/>
      <c r="F277" s="25"/>
    </row>
    <row r="278" spans="1:6" ht="12.75">
      <c r="A278" s="29"/>
      <c r="B278" s="290"/>
      <c r="C278" s="29"/>
      <c r="D278" s="29"/>
      <c r="E278" s="25"/>
      <c r="F278" s="25"/>
    </row>
    <row r="279" spans="1:6" ht="12.75">
      <c r="A279" s="29"/>
      <c r="B279" s="290"/>
      <c r="C279" s="29"/>
      <c r="D279" s="29"/>
      <c r="E279" s="25"/>
      <c r="F279" s="25"/>
    </row>
    <row r="280" spans="1:6" ht="12.75">
      <c r="A280" s="29"/>
      <c r="B280" s="290"/>
      <c r="C280" s="29"/>
      <c r="D280" s="29"/>
      <c r="E280" s="25"/>
      <c r="F280" s="25"/>
    </row>
    <row r="281" spans="1:6" ht="12.75">
      <c r="A281" s="29"/>
      <c r="B281" s="292"/>
      <c r="C281" s="29"/>
      <c r="D281" s="29"/>
      <c r="E281" s="25"/>
      <c r="F281" s="25"/>
    </row>
    <row r="282" spans="1:6" ht="12.75">
      <c r="A282" s="29"/>
      <c r="B282" s="290"/>
      <c r="C282" s="29"/>
      <c r="D282" s="29"/>
      <c r="E282" s="25"/>
      <c r="F282" s="25"/>
    </row>
    <row r="283" spans="1:6" ht="12.75">
      <c r="A283" s="29"/>
      <c r="B283" s="290"/>
      <c r="C283" s="29"/>
      <c r="D283" s="29"/>
      <c r="E283" s="25"/>
      <c r="F283" s="25"/>
    </row>
    <row r="284" spans="1:6" ht="12.75">
      <c r="A284" s="29"/>
      <c r="B284" s="290"/>
      <c r="C284" s="29"/>
      <c r="D284" s="29"/>
      <c r="E284" s="25"/>
      <c r="F284" s="25"/>
    </row>
    <row r="285" spans="1:6" ht="12.75">
      <c r="A285" s="29"/>
      <c r="B285" s="290"/>
      <c r="C285" s="29"/>
      <c r="D285" s="29"/>
      <c r="E285" s="25"/>
      <c r="F285" s="25"/>
    </row>
    <row r="286" spans="1:6" ht="12.75">
      <c r="A286" s="29"/>
      <c r="B286" s="290"/>
      <c r="C286" s="29"/>
      <c r="D286" s="29"/>
      <c r="E286" s="25"/>
      <c r="F286" s="25"/>
    </row>
    <row r="287" spans="1:6" ht="12.75">
      <c r="A287" s="29"/>
      <c r="B287" s="290"/>
      <c r="C287" s="29"/>
      <c r="D287" s="29"/>
      <c r="E287" s="25"/>
      <c r="F287" s="25"/>
    </row>
    <row r="288" spans="1:6" ht="12.75">
      <c r="A288" s="29"/>
      <c r="B288" s="290"/>
      <c r="C288" s="29"/>
      <c r="D288" s="29"/>
      <c r="E288" s="25"/>
      <c r="F288" s="25"/>
    </row>
    <row r="289" spans="1:6" ht="12.75">
      <c r="A289" s="29"/>
      <c r="B289" s="290"/>
      <c r="C289" s="29"/>
      <c r="D289" s="29"/>
      <c r="E289" s="25"/>
      <c r="F289" s="25"/>
    </row>
    <row r="290" spans="1:6" ht="12.75">
      <c r="A290" s="29"/>
      <c r="B290" s="290"/>
      <c r="C290" s="29"/>
      <c r="D290" s="29"/>
      <c r="E290" s="25"/>
      <c r="F290" s="25"/>
    </row>
    <row r="291" spans="1:6" ht="12.75">
      <c r="A291" s="29"/>
      <c r="B291" s="290"/>
      <c r="C291" s="29"/>
      <c r="D291" s="29"/>
      <c r="E291" s="25"/>
      <c r="F291" s="25"/>
    </row>
    <row r="292" spans="1:6" ht="12.75">
      <c r="A292" s="29"/>
      <c r="B292" s="290"/>
      <c r="C292" s="29"/>
      <c r="D292" s="29"/>
      <c r="E292" s="25"/>
      <c r="F292" s="25"/>
    </row>
    <row r="293" spans="1:6" ht="12.75">
      <c r="A293" s="29"/>
      <c r="B293" s="290"/>
      <c r="C293" s="29"/>
      <c r="D293" s="29"/>
      <c r="E293" s="25"/>
      <c r="F293" s="25"/>
    </row>
    <row r="294" spans="1:6" ht="12.75">
      <c r="A294" s="29"/>
      <c r="B294" s="290"/>
      <c r="C294" s="29"/>
      <c r="D294" s="29"/>
      <c r="E294" s="25"/>
      <c r="F294" s="25"/>
    </row>
    <row r="295" spans="1:6" ht="12.75">
      <c r="A295" s="29"/>
      <c r="B295" s="290"/>
      <c r="C295" s="29"/>
      <c r="D295" s="29"/>
      <c r="E295" s="25"/>
      <c r="F295" s="25"/>
    </row>
  </sheetData>
  <sheetProtection/>
  <mergeCells count="17">
    <mergeCell ref="A10:A11"/>
    <mergeCell ref="E10:F10"/>
    <mergeCell ref="G10:H10"/>
    <mergeCell ref="I10:J10"/>
    <mergeCell ref="K10:L10"/>
    <mergeCell ref="M10:N10"/>
    <mergeCell ref="C10:D10"/>
    <mergeCell ref="O165:P165"/>
    <mergeCell ref="P10:P11"/>
    <mergeCell ref="A2:P2"/>
    <mergeCell ref="A3:P3"/>
    <mergeCell ref="A5:P5"/>
    <mergeCell ref="A6:P6"/>
    <mergeCell ref="A7:P7"/>
    <mergeCell ref="A8:P8"/>
    <mergeCell ref="A9:P9"/>
    <mergeCell ref="O10:O11"/>
  </mergeCells>
  <printOptions/>
  <pageMargins left="0.73" right="0.13" top="0.89" bottom="0.6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95"/>
  <sheetViews>
    <sheetView zoomScalePageLayoutView="0" workbookViewId="0" topLeftCell="A1">
      <pane xSplit="2" ySplit="11" topLeftCell="C4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5.00390625" style="32" customWidth="1"/>
    <col min="5" max="5" width="15.140625" style="30" customWidth="1"/>
    <col min="6" max="6" width="14.421875" style="30" customWidth="1"/>
    <col min="7" max="7" width="10.00390625" style="30" customWidth="1"/>
    <col min="8" max="8" width="13.140625" style="30" customWidth="1"/>
    <col min="9" max="10" width="10.421875" style="30" customWidth="1"/>
    <col min="11" max="11" width="13.7109375" style="30" customWidth="1"/>
    <col min="12" max="12" width="13.57421875" style="30" customWidth="1"/>
    <col min="13" max="13" width="14.8515625" style="30" customWidth="1"/>
    <col min="14" max="14" width="14.7109375" style="30" customWidth="1"/>
    <col min="15" max="15" width="16.7109375" style="30" customWidth="1"/>
    <col min="16" max="16" width="17.7109375" style="30" customWidth="1"/>
    <col min="17" max="17" width="10.28125" style="29" bestFit="1" customWidth="1"/>
    <col min="18" max="16384" width="9.140625" style="30" customWidth="1"/>
  </cols>
  <sheetData>
    <row r="1" spans="6:16" ht="12.75">
      <c r="F1" s="33"/>
      <c r="H1" s="33"/>
      <c r="J1" s="33"/>
      <c r="L1" s="33"/>
      <c r="N1" s="33"/>
      <c r="P1" s="33" t="s">
        <v>0</v>
      </c>
    </row>
    <row r="2" spans="1:16" ht="12.75">
      <c r="A2" s="536" t="s">
        <v>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2.75">
      <c r="A5" s="536" t="s">
        <v>44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</row>
    <row r="6" spans="1:16" ht="12.75">
      <c r="A6" s="536" t="s">
        <v>773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2.75">
      <c r="A10" s="572" t="s">
        <v>5</v>
      </c>
      <c r="B10" s="295" t="s">
        <v>4</v>
      </c>
      <c r="C10" s="577" t="s">
        <v>774</v>
      </c>
      <c r="D10" s="578"/>
      <c r="E10" s="574" t="s">
        <v>49</v>
      </c>
      <c r="F10" s="575"/>
      <c r="G10" s="574" t="s">
        <v>54</v>
      </c>
      <c r="H10" s="575"/>
      <c r="I10" s="574" t="s">
        <v>48</v>
      </c>
      <c r="J10" s="575"/>
      <c r="K10" s="574" t="s">
        <v>57</v>
      </c>
      <c r="L10" s="575"/>
      <c r="M10" s="574" t="s">
        <v>50</v>
      </c>
      <c r="N10" s="576"/>
      <c r="O10" s="570" t="s">
        <v>7</v>
      </c>
      <c r="P10" s="568" t="s">
        <v>8</v>
      </c>
    </row>
    <row r="11" spans="1:16" ht="13.5" thickBot="1">
      <c r="A11" s="573"/>
      <c r="B11" s="65" t="s">
        <v>6</v>
      </c>
      <c r="C11" s="316" t="s">
        <v>7</v>
      </c>
      <c r="D11" s="317" t="s">
        <v>8</v>
      </c>
      <c r="E11" s="298" t="s">
        <v>7</v>
      </c>
      <c r="F11" s="65" t="s">
        <v>8</v>
      </c>
      <c r="G11" s="296" t="s">
        <v>7</v>
      </c>
      <c r="H11" s="297" t="s">
        <v>8</v>
      </c>
      <c r="I11" s="298" t="s">
        <v>7</v>
      </c>
      <c r="J11" s="297" t="s">
        <v>8</v>
      </c>
      <c r="K11" s="296" t="s">
        <v>7</v>
      </c>
      <c r="L11" s="297" t="s">
        <v>8</v>
      </c>
      <c r="M11" s="296" t="s">
        <v>7</v>
      </c>
      <c r="N11" s="65" t="s">
        <v>8</v>
      </c>
      <c r="O11" s="571"/>
      <c r="P11" s="569"/>
    </row>
    <row r="12" spans="1:16" ht="13.5" customHeight="1">
      <c r="A12" s="43"/>
      <c r="B12" s="515"/>
      <c r="C12" s="516"/>
      <c r="D12" s="497"/>
      <c r="E12" s="290"/>
      <c r="F12" s="24"/>
      <c r="G12" s="43"/>
      <c r="H12" s="72"/>
      <c r="I12" s="290"/>
      <c r="J12" s="24"/>
      <c r="K12" s="43"/>
      <c r="L12" s="72"/>
      <c r="M12" s="43"/>
      <c r="N12" s="24"/>
      <c r="O12" s="492"/>
      <c r="P12" s="73"/>
    </row>
    <row r="13" spans="1:16" ht="12.75" customHeight="1">
      <c r="A13" s="4" t="s">
        <v>9</v>
      </c>
      <c r="B13" s="505"/>
      <c r="C13" s="513"/>
      <c r="D13" s="301"/>
      <c r="E13" s="29"/>
      <c r="F13" s="44"/>
      <c r="G13" s="23"/>
      <c r="H13" s="294"/>
      <c r="I13" s="29"/>
      <c r="J13" s="44"/>
      <c r="K13" s="23"/>
      <c r="L13" s="294"/>
      <c r="M13" s="23"/>
      <c r="N13" s="44"/>
      <c r="O13" s="56"/>
      <c r="P13" s="115"/>
    </row>
    <row r="14" spans="1:16" ht="12.75">
      <c r="A14" s="102" t="s">
        <v>678</v>
      </c>
      <c r="B14" s="506" t="s">
        <v>679</v>
      </c>
      <c r="C14" s="513">
        <f>Aug20!O14</f>
        <v>0</v>
      </c>
      <c r="D14" s="301">
        <f>Aug20!P14</f>
        <v>0</v>
      </c>
      <c r="E14" s="92"/>
      <c r="F14" s="44"/>
      <c r="G14" s="300"/>
      <c r="H14" s="294"/>
      <c r="I14" s="92"/>
      <c r="J14" s="44"/>
      <c r="K14" s="300"/>
      <c r="L14" s="294"/>
      <c r="M14" s="300"/>
      <c r="N14" s="44"/>
      <c r="O14" s="299">
        <f aca="true" t="shared" si="0" ref="O14:O85">C14+E14+I14+M14-D14-F14-J14-N14+G14-H14+K14-L14</f>
        <v>0</v>
      </c>
      <c r="P14" s="301"/>
    </row>
    <row r="15" spans="1:16" s="29" customFormat="1" ht="12.75">
      <c r="A15" s="49" t="s">
        <v>101</v>
      </c>
      <c r="B15" s="506" t="s">
        <v>100</v>
      </c>
      <c r="C15" s="513">
        <f>Aug20!O15</f>
        <v>35000</v>
      </c>
      <c r="D15" s="301">
        <f>Aug20!P15</f>
        <v>0</v>
      </c>
      <c r="E15" s="92"/>
      <c r="F15" s="44"/>
      <c r="G15" s="300"/>
      <c r="H15" s="294"/>
      <c r="I15" s="92"/>
      <c r="J15" s="44"/>
      <c r="K15" s="300"/>
      <c r="L15" s="294"/>
      <c r="M15" s="300"/>
      <c r="N15" s="44"/>
      <c r="O15" s="299">
        <f t="shared" si="0"/>
        <v>35000</v>
      </c>
      <c r="P15" s="301"/>
    </row>
    <row r="16" spans="1:16" s="29" customFormat="1" ht="12.75">
      <c r="A16" s="49" t="s">
        <v>589</v>
      </c>
      <c r="B16" s="506" t="s">
        <v>230</v>
      </c>
      <c r="C16" s="513">
        <f>Aug20!O16</f>
        <v>333912.42</v>
      </c>
      <c r="D16" s="301">
        <f>Aug20!P16</f>
        <v>0</v>
      </c>
      <c r="E16" s="25"/>
      <c r="F16" s="302"/>
      <c r="G16" s="27"/>
      <c r="H16" s="294"/>
      <c r="I16" s="25"/>
      <c r="J16" s="44"/>
      <c r="K16" s="27"/>
      <c r="L16" s="294"/>
      <c r="M16" s="27"/>
      <c r="N16" s="303"/>
      <c r="O16" s="299">
        <f t="shared" si="0"/>
        <v>333912.42</v>
      </c>
      <c r="P16" s="301"/>
    </row>
    <row r="17" spans="1:16" s="29" customFormat="1" ht="12.75">
      <c r="A17" s="49" t="s">
        <v>636</v>
      </c>
      <c r="B17" s="506" t="s">
        <v>590</v>
      </c>
      <c r="C17" s="513">
        <f>Aug20!O17</f>
        <v>0</v>
      </c>
      <c r="D17" s="301">
        <f>Aug20!P17</f>
        <v>0</v>
      </c>
      <c r="E17" s="25"/>
      <c r="F17" s="303"/>
      <c r="G17" s="27"/>
      <c r="H17" s="294"/>
      <c r="I17" s="25"/>
      <c r="J17" s="303"/>
      <c r="K17" s="27">
        <v>21573113.93</v>
      </c>
      <c r="L17" s="294"/>
      <c r="M17" s="27"/>
      <c r="N17" s="303"/>
      <c r="O17" s="299">
        <f t="shared" si="0"/>
        <v>21573113.93</v>
      </c>
      <c r="P17" s="301"/>
    </row>
    <row r="18" spans="1:16" s="29" customFormat="1" ht="12.75">
      <c r="A18" s="49" t="s">
        <v>103</v>
      </c>
      <c r="B18" s="506" t="s">
        <v>102</v>
      </c>
      <c r="C18" s="513">
        <f>Aug20!O18</f>
        <v>74372309.54999998</v>
      </c>
      <c r="D18" s="301">
        <f>Aug20!P18</f>
        <v>0</v>
      </c>
      <c r="E18" s="25"/>
      <c r="F18" s="302">
        <v>78400930.75</v>
      </c>
      <c r="G18" s="27"/>
      <c r="H18" s="294"/>
      <c r="I18" s="25"/>
      <c r="J18" s="303"/>
      <c r="K18" s="27"/>
      <c r="L18" s="294"/>
      <c r="M18" s="27">
        <f>449126+46218.41+449126.11+1136534.6+5800+1967107.2</f>
        <v>4053912.3200000003</v>
      </c>
      <c r="N18" s="303"/>
      <c r="O18" s="299">
        <f t="shared" si="0"/>
        <v>25291.119999974966</v>
      </c>
      <c r="P18" s="301"/>
    </row>
    <row r="19" spans="1:16" s="29" customFormat="1" ht="12.75">
      <c r="A19" s="49" t="s">
        <v>10</v>
      </c>
      <c r="B19" s="506" t="s">
        <v>104</v>
      </c>
      <c r="C19" s="513">
        <f>Aug20!O19</f>
        <v>12873134.89</v>
      </c>
      <c r="D19" s="301">
        <f>Aug20!P19</f>
        <v>0</v>
      </c>
      <c r="E19" s="25"/>
      <c r="F19" s="303"/>
      <c r="G19" s="27"/>
      <c r="H19" s="294"/>
      <c r="I19" s="25"/>
      <c r="J19" s="303"/>
      <c r="K19" s="27">
        <f>10810828.05</f>
        <v>10810828.05</v>
      </c>
      <c r="L19" s="294">
        <v>21573113.93</v>
      </c>
      <c r="M19" s="27"/>
      <c r="N19" s="303"/>
      <c r="O19" s="299">
        <f t="shared" si="0"/>
        <v>2110849.0100000016</v>
      </c>
      <c r="P19" s="301"/>
    </row>
    <row r="20" spans="1:16" s="29" customFormat="1" ht="12.75">
      <c r="A20" s="49" t="s">
        <v>567</v>
      </c>
      <c r="B20" s="506" t="s">
        <v>568</v>
      </c>
      <c r="C20" s="513">
        <f>Aug20!O20</f>
        <v>22237581.29</v>
      </c>
      <c r="D20" s="301">
        <f>Aug20!P20</f>
        <v>0</v>
      </c>
      <c r="E20" s="25"/>
      <c r="F20" s="26"/>
      <c r="G20" s="27"/>
      <c r="H20" s="28"/>
      <c r="I20" s="25"/>
      <c r="J20" s="26"/>
      <c r="K20" s="27"/>
      <c r="L20" s="28"/>
      <c r="M20" s="27"/>
      <c r="N20" s="26"/>
      <c r="O20" s="299">
        <f t="shared" si="0"/>
        <v>22237581.29</v>
      </c>
      <c r="P20" s="301"/>
    </row>
    <row r="21" spans="1:16" s="29" customFormat="1" ht="12.75">
      <c r="A21" s="49" t="s">
        <v>225</v>
      </c>
      <c r="B21" s="506" t="s">
        <v>226</v>
      </c>
      <c r="C21" s="513">
        <f>Aug20!O21</f>
        <v>497000</v>
      </c>
      <c r="D21" s="301">
        <f>Aug20!P21</f>
        <v>0</v>
      </c>
      <c r="E21" s="25"/>
      <c r="F21" s="26"/>
      <c r="G21" s="27"/>
      <c r="H21" s="28"/>
      <c r="I21" s="25"/>
      <c r="J21" s="26"/>
      <c r="K21" s="27"/>
      <c r="L21" s="28"/>
      <c r="M21" s="27"/>
      <c r="N21" s="26"/>
      <c r="O21" s="299">
        <f t="shared" si="0"/>
        <v>497000</v>
      </c>
      <c r="P21" s="301"/>
    </row>
    <row r="22" spans="1:16" s="29" customFormat="1" ht="12.75">
      <c r="A22" s="49" t="s">
        <v>11</v>
      </c>
      <c r="B22" s="506" t="s">
        <v>105</v>
      </c>
      <c r="C22" s="513">
        <f>Aug20!O22</f>
        <v>611227.22</v>
      </c>
      <c r="D22" s="301">
        <f>Aug20!P22</f>
        <v>0</v>
      </c>
      <c r="E22" s="25">
        <v>123600</v>
      </c>
      <c r="F22" s="26"/>
      <c r="G22" s="27"/>
      <c r="H22" s="28"/>
      <c r="I22" s="25"/>
      <c r="J22" s="26"/>
      <c r="K22" s="27"/>
      <c r="L22" s="28"/>
      <c r="M22" s="27"/>
      <c r="N22" s="26"/>
      <c r="O22" s="299">
        <f t="shared" si="0"/>
        <v>734827.22</v>
      </c>
      <c r="P22" s="62"/>
    </row>
    <row r="23" spans="1:16" s="29" customFormat="1" ht="12.75">
      <c r="A23" s="74" t="s">
        <v>108</v>
      </c>
      <c r="B23" s="507" t="s">
        <v>106</v>
      </c>
      <c r="C23" s="513">
        <f>Aug20!O23</f>
        <v>1600</v>
      </c>
      <c r="D23" s="301">
        <f>Aug20!P23</f>
        <v>0</v>
      </c>
      <c r="E23" s="25"/>
      <c r="F23" s="26"/>
      <c r="G23" s="27"/>
      <c r="H23" s="28"/>
      <c r="I23" s="25"/>
      <c r="J23" s="26"/>
      <c r="K23" s="27"/>
      <c r="L23" s="28"/>
      <c r="M23" s="27"/>
      <c r="N23" s="26"/>
      <c r="O23" s="299">
        <f t="shared" si="0"/>
        <v>1600</v>
      </c>
      <c r="P23" s="62"/>
    </row>
    <row r="24" spans="1:16" s="29" customFormat="1" ht="12.75" hidden="1">
      <c r="A24" s="49" t="s">
        <v>109</v>
      </c>
      <c r="B24" s="506" t="s">
        <v>107</v>
      </c>
      <c r="C24" s="513">
        <f>Aug20!O24</f>
        <v>0</v>
      </c>
      <c r="D24" s="301">
        <f>Aug20!P24</f>
        <v>0</v>
      </c>
      <c r="E24" s="25"/>
      <c r="F24" s="26"/>
      <c r="G24" s="27"/>
      <c r="H24" s="28"/>
      <c r="I24" s="25"/>
      <c r="J24" s="26"/>
      <c r="K24" s="27"/>
      <c r="L24" s="28"/>
      <c r="M24" s="27"/>
      <c r="N24" s="26"/>
      <c r="O24" s="299">
        <f t="shared" si="0"/>
        <v>0</v>
      </c>
      <c r="P24" s="62"/>
    </row>
    <row r="25" spans="1:16" s="29" customFormat="1" ht="12.75" hidden="1">
      <c r="A25" s="49" t="s">
        <v>239</v>
      </c>
      <c r="B25" s="506" t="s">
        <v>240</v>
      </c>
      <c r="C25" s="513">
        <f>Aug20!O25</f>
        <v>0</v>
      </c>
      <c r="D25" s="301">
        <f>Aug20!P25</f>
        <v>0</v>
      </c>
      <c r="E25" s="25"/>
      <c r="F25" s="26"/>
      <c r="G25" s="27"/>
      <c r="H25" s="28"/>
      <c r="I25" s="25"/>
      <c r="J25" s="26"/>
      <c r="K25" s="27"/>
      <c r="L25" s="28"/>
      <c r="M25" s="27"/>
      <c r="N25" s="26"/>
      <c r="O25" s="299">
        <f t="shared" si="0"/>
        <v>0</v>
      </c>
      <c r="P25" s="62"/>
    </row>
    <row r="26" spans="1:16" s="29" customFormat="1" ht="12.75" hidden="1">
      <c r="A26" s="49" t="s">
        <v>238</v>
      </c>
      <c r="B26" s="506" t="s">
        <v>231</v>
      </c>
      <c r="C26" s="513">
        <f>Aug20!O26</f>
        <v>0</v>
      </c>
      <c r="D26" s="301">
        <f>Aug20!P26</f>
        <v>0</v>
      </c>
      <c r="E26" s="25"/>
      <c r="F26" s="26"/>
      <c r="G26" s="27"/>
      <c r="H26" s="28"/>
      <c r="I26" s="25"/>
      <c r="J26" s="26"/>
      <c r="K26" s="27"/>
      <c r="L26" s="28"/>
      <c r="M26" s="27"/>
      <c r="N26" s="26"/>
      <c r="O26" s="299">
        <f t="shared" si="0"/>
        <v>0</v>
      </c>
      <c r="P26" s="62"/>
    </row>
    <row r="27" spans="1:16" s="29" customFormat="1" ht="12.75" hidden="1">
      <c r="A27" s="49" t="s">
        <v>534</v>
      </c>
      <c r="B27" s="506" t="s">
        <v>526</v>
      </c>
      <c r="C27" s="513">
        <f>Aug20!O27</f>
        <v>0</v>
      </c>
      <c r="D27" s="301">
        <f>Aug20!P27</f>
        <v>0</v>
      </c>
      <c r="E27" s="25"/>
      <c r="F27" s="26"/>
      <c r="G27" s="27"/>
      <c r="H27" s="28"/>
      <c r="I27" s="25"/>
      <c r="J27" s="26"/>
      <c r="K27" s="27"/>
      <c r="L27" s="28"/>
      <c r="M27" s="27"/>
      <c r="N27" s="26"/>
      <c r="O27" s="299">
        <f t="shared" si="0"/>
        <v>0</v>
      </c>
      <c r="P27" s="62"/>
    </row>
    <row r="28" spans="1:16" s="29" customFormat="1" ht="12.75" hidden="1">
      <c r="A28" s="49" t="s">
        <v>315</v>
      </c>
      <c r="B28" s="506" t="s">
        <v>110</v>
      </c>
      <c r="C28" s="513">
        <f>Aug20!O28</f>
        <v>0</v>
      </c>
      <c r="D28" s="301">
        <f>Aug20!P28</f>
        <v>0</v>
      </c>
      <c r="E28" s="25"/>
      <c r="F28" s="26"/>
      <c r="G28" s="27"/>
      <c r="H28" s="28"/>
      <c r="I28" s="25"/>
      <c r="J28" s="26"/>
      <c r="K28" s="27"/>
      <c r="L28" s="28"/>
      <c r="M28" s="27"/>
      <c r="N28" s="26"/>
      <c r="O28" s="299">
        <f t="shared" si="0"/>
        <v>0</v>
      </c>
      <c r="P28" s="62"/>
    </row>
    <row r="29" spans="1:16" s="29" customFormat="1" ht="12.75">
      <c r="A29" s="49" t="s">
        <v>213</v>
      </c>
      <c r="B29" s="506" t="s">
        <v>209</v>
      </c>
      <c r="C29" s="513">
        <f>Aug20!O29</f>
        <v>0</v>
      </c>
      <c r="D29" s="301">
        <f>Aug20!P29</f>
        <v>0</v>
      </c>
      <c r="E29" s="25">
        <v>65000</v>
      </c>
      <c r="F29" s="26">
        <v>20000</v>
      </c>
      <c r="G29" s="27"/>
      <c r="H29" s="28"/>
      <c r="I29" s="25"/>
      <c r="J29" s="26"/>
      <c r="K29" s="27"/>
      <c r="L29" s="28"/>
      <c r="M29" s="27"/>
      <c r="N29" s="26">
        <f>15000+30000</f>
        <v>45000</v>
      </c>
      <c r="O29" s="299">
        <f t="shared" si="0"/>
        <v>0</v>
      </c>
      <c r="P29" s="62"/>
    </row>
    <row r="30" spans="1:16" s="29" customFormat="1" ht="12.75">
      <c r="A30" s="49" t="s">
        <v>201</v>
      </c>
      <c r="B30" s="506" t="s">
        <v>200</v>
      </c>
      <c r="C30" s="513">
        <f>Aug20!O30</f>
        <v>0</v>
      </c>
      <c r="D30" s="301">
        <f>Aug20!P30</f>
        <v>0</v>
      </c>
      <c r="E30" s="25"/>
      <c r="F30" s="26"/>
      <c r="G30" s="27"/>
      <c r="H30" s="28"/>
      <c r="I30" s="25"/>
      <c r="J30" s="26"/>
      <c r="K30" s="27"/>
      <c r="L30" s="28"/>
      <c r="M30" s="27"/>
      <c r="N30" s="26"/>
      <c r="O30" s="299">
        <f t="shared" si="0"/>
        <v>0</v>
      </c>
      <c r="P30" s="62"/>
    </row>
    <row r="31" spans="1:16" s="29" customFormat="1" ht="12.75">
      <c r="A31" s="49" t="s">
        <v>202</v>
      </c>
      <c r="B31" s="506" t="s">
        <v>203</v>
      </c>
      <c r="C31" s="513">
        <f>Aug20!O31</f>
        <v>0</v>
      </c>
      <c r="D31" s="301">
        <f>Aug20!P31</f>
        <v>0</v>
      </c>
      <c r="E31" s="25"/>
      <c r="F31" s="26"/>
      <c r="G31" s="27"/>
      <c r="H31" s="28"/>
      <c r="I31" s="25"/>
      <c r="J31" s="26"/>
      <c r="K31" s="27"/>
      <c r="L31" s="28"/>
      <c r="M31" s="27"/>
      <c r="N31" s="26"/>
      <c r="O31" s="299">
        <f t="shared" si="0"/>
        <v>0</v>
      </c>
      <c r="P31" s="62"/>
    </row>
    <row r="32" spans="1:16" s="29" customFormat="1" ht="12.75">
      <c r="A32" s="49" t="s">
        <v>727</v>
      </c>
      <c r="B32" s="506" t="s">
        <v>728</v>
      </c>
      <c r="C32" s="513">
        <f>Aug20!O32</f>
        <v>15116938.08</v>
      </c>
      <c r="D32" s="301">
        <f>Aug20!P32</f>
        <v>0</v>
      </c>
      <c r="E32" s="25"/>
      <c r="F32" s="26"/>
      <c r="G32" s="27"/>
      <c r="H32" s="28"/>
      <c r="I32" s="25"/>
      <c r="J32" s="26"/>
      <c r="K32" s="27"/>
      <c r="L32" s="28">
        <v>10810828.05</v>
      </c>
      <c r="M32" s="27"/>
      <c r="N32" s="26"/>
      <c r="O32" s="299">
        <f t="shared" si="0"/>
        <v>4306110.029999999</v>
      </c>
      <c r="P32" s="62"/>
    </row>
    <row r="33" spans="1:16" s="29" customFormat="1" ht="12.75">
      <c r="A33" s="49" t="s">
        <v>12</v>
      </c>
      <c r="B33" s="506" t="s">
        <v>111</v>
      </c>
      <c r="C33" s="513">
        <f>Aug20!O33</f>
        <v>1208049.99</v>
      </c>
      <c r="D33" s="301">
        <f>Aug20!P33</f>
        <v>0</v>
      </c>
      <c r="E33" s="25">
        <v>138500</v>
      </c>
      <c r="F33" s="26"/>
      <c r="G33" s="27"/>
      <c r="H33" s="28"/>
      <c r="I33" s="25"/>
      <c r="J33" s="26"/>
      <c r="K33" s="27"/>
      <c r="L33" s="28"/>
      <c r="M33" s="27"/>
      <c r="N33" s="26">
        <v>138500</v>
      </c>
      <c r="O33" s="299">
        <f t="shared" si="0"/>
        <v>1208049.99</v>
      </c>
      <c r="P33" s="62"/>
    </row>
    <row r="34" spans="1:16" s="29" customFormat="1" ht="12.75">
      <c r="A34" s="49" t="s">
        <v>120</v>
      </c>
      <c r="B34" s="506" t="s">
        <v>112</v>
      </c>
      <c r="C34" s="513">
        <f>Aug20!O34</f>
        <v>0</v>
      </c>
      <c r="D34" s="301">
        <f>Aug20!P34</f>
        <v>364327.7</v>
      </c>
      <c r="E34" s="25"/>
      <c r="F34" s="26"/>
      <c r="G34" s="27"/>
      <c r="H34" s="28"/>
      <c r="I34" s="25"/>
      <c r="J34" s="26"/>
      <c r="K34" s="27"/>
      <c r="L34" s="28"/>
      <c r="M34" s="27"/>
      <c r="N34" s="26"/>
      <c r="O34" s="299"/>
      <c r="P34" s="62">
        <f>D34+F34+H34+J34+L34+N34-C34-E34-G34-I34-K34-M34</f>
        <v>364327.7</v>
      </c>
    </row>
    <row r="35" spans="1:16" s="29" customFormat="1" ht="12.75">
      <c r="A35" s="49" t="s">
        <v>114</v>
      </c>
      <c r="B35" s="506" t="s">
        <v>113</v>
      </c>
      <c r="C35" s="513">
        <f>Aug20!O35</f>
        <v>1155878</v>
      </c>
      <c r="D35" s="301" t="str">
        <f>Aug20!P35</f>
        <v> </v>
      </c>
      <c r="E35" s="25"/>
      <c r="F35" s="26"/>
      <c r="G35" s="27"/>
      <c r="H35" s="28"/>
      <c r="I35" s="25"/>
      <c r="J35" s="26"/>
      <c r="K35" s="27"/>
      <c r="L35" s="28"/>
      <c r="M35" s="27"/>
      <c r="N35" s="26"/>
      <c r="O35" s="299">
        <v>1155878</v>
      </c>
      <c r="P35" s="62"/>
    </row>
    <row r="36" spans="1:16" s="29" customFormat="1" ht="12.75" customHeight="1">
      <c r="A36" s="49" t="s">
        <v>115</v>
      </c>
      <c r="B36" s="506" t="s">
        <v>121</v>
      </c>
      <c r="C36" s="513">
        <f>Aug20!O36</f>
        <v>0</v>
      </c>
      <c r="D36" s="301">
        <f>Aug20!P36</f>
        <v>422310.89</v>
      </c>
      <c r="E36" s="25"/>
      <c r="F36" s="26"/>
      <c r="G36" s="27"/>
      <c r="H36" s="28"/>
      <c r="I36" s="25"/>
      <c r="J36" s="26"/>
      <c r="K36" s="27"/>
      <c r="L36" s="28"/>
      <c r="M36" s="27"/>
      <c r="N36" s="26"/>
      <c r="O36" s="299"/>
      <c r="P36" s="62">
        <f>D36+F36+H36+J36+L36+N36-C36-E36-G36-I36-K36-M36</f>
        <v>422310.89</v>
      </c>
    </row>
    <row r="37" spans="1:16" s="29" customFormat="1" ht="12.75" customHeight="1">
      <c r="A37" s="49" t="s">
        <v>780</v>
      </c>
      <c r="B37" s="262" t="s">
        <v>778</v>
      </c>
      <c r="C37" s="513">
        <f>Aug20!O37</f>
        <v>41864819</v>
      </c>
      <c r="D37" s="301">
        <f>Aug20!P37</f>
        <v>0</v>
      </c>
      <c r="E37" s="25">
        <v>990000</v>
      </c>
      <c r="F37" s="26"/>
      <c r="G37" s="27"/>
      <c r="H37" s="28"/>
      <c r="I37" s="25"/>
      <c r="J37" s="26"/>
      <c r="K37" s="27"/>
      <c r="L37" s="28"/>
      <c r="M37" s="27"/>
      <c r="N37" s="26"/>
      <c r="O37" s="299">
        <f t="shared" si="0"/>
        <v>42854819</v>
      </c>
      <c r="P37" s="62"/>
    </row>
    <row r="38" spans="1:16" s="29" customFormat="1" ht="12.75" customHeight="1">
      <c r="A38" s="49" t="s">
        <v>781</v>
      </c>
      <c r="B38" s="262" t="s">
        <v>779</v>
      </c>
      <c r="C38" s="513">
        <f>Aug20!O38</f>
        <v>0</v>
      </c>
      <c r="D38" s="301">
        <f>Aug20!P38</f>
        <v>322963.29000000004</v>
      </c>
      <c r="E38" s="25"/>
      <c r="F38" s="26"/>
      <c r="G38" s="27"/>
      <c r="H38" s="28"/>
      <c r="I38" s="25"/>
      <c r="J38" s="26"/>
      <c r="K38" s="27"/>
      <c r="L38" s="28"/>
      <c r="M38" s="27"/>
      <c r="N38" s="26">
        <v>111404.98</v>
      </c>
      <c r="O38" s="299"/>
      <c r="P38" s="62">
        <f>D38+F38+H38+J38+L38+N38-C38-E38-G38-I38-K38-M38</f>
        <v>434368.27</v>
      </c>
    </row>
    <row r="39" spans="1:16" s="29" customFormat="1" ht="12.75" customHeight="1">
      <c r="A39" s="49" t="s">
        <v>782</v>
      </c>
      <c r="B39" s="262" t="s">
        <v>783</v>
      </c>
      <c r="C39" s="513">
        <f>Aug20!O39</f>
        <v>0</v>
      </c>
      <c r="D39" s="301">
        <f>Aug20!P39</f>
        <v>0</v>
      </c>
      <c r="E39" s="25"/>
      <c r="F39" s="26"/>
      <c r="G39" s="27"/>
      <c r="H39" s="28"/>
      <c r="I39" s="25"/>
      <c r="J39" s="26"/>
      <c r="K39" s="27"/>
      <c r="L39" s="28"/>
      <c r="M39" s="27"/>
      <c r="N39" s="26"/>
      <c r="O39" s="299">
        <f t="shared" si="0"/>
        <v>0</v>
      </c>
      <c r="P39" s="62"/>
    </row>
    <row r="40" spans="1:16" s="29" customFormat="1" ht="12.75" customHeight="1">
      <c r="A40" s="49" t="s">
        <v>784</v>
      </c>
      <c r="B40" s="262" t="s">
        <v>785</v>
      </c>
      <c r="C40" s="513">
        <f>Aug20!O40</f>
        <v>0</v>
      </c>
      <c r="D40" s="301">
        <f>Aug20!P40</f>
        <v>0</v>
      </c>
      <c r="E40" s="25"/>
      <c r="F40" s="26"/>
      <c r="G40" s="27"/>
      <c r="H40" s="28"/>
      <c r="I40" s="25"/>
      <c r="J40" s="26"/>
      <c r="K40" s="27"/>
      <c r="L40" s="28"/>
      <c r="M40" s="27"/>
      <c r="N40" s="26"/>
      <c r="O40" s="299"/>
      <c r="P40" s="62">
        <f>D40+F40+H40+J40+L40+N40-C40-E40-G40-I40-K40-M40</f>
        <v>0</v>
      </c>
    </row>
    <row r="41" spans="1:16" s="29" customFormat="1" ht="12.75" customHeight="1">
      <c r="A41" s="49" t="s">
        <v>786</v>
      </c>
      <c r="B41" s="262" t="s">
        <v>788</v>
      </c>
      <c r="C41" s="513">
        <f>Aug20!O41</f>
        <v>0</v>
      </c>
      <c r="D41" s="301"/>
      <c r="E41" s="25"/>
      <c r="F41" s="26"/>
      <c r="G41" s="27"/>
      <c r="H41" s="28"/>
      <c r="I41" s="25"/>
      <c r="J41" s="26"/>
      <c r="K41" s="27"/>
      <c r="L41" s="28"/>
      <c r="M41" s="27">
        <v>45000</v>
      </c>
      <c r="N41" s="26"/>
      <c r="O41" s="299">
        <f t="shared" si="0"/>
        <v>45000</v>
      </c>
      <c r="P41" s="62"/>
    </row>
    <row r="42" spans="1:16" s="29" customFormat="1" ht="12.75" customHeight="1">
      <c r="A42" s="49" t="s">
        <v>787</v>
      </c>
      <c r="B42" s="262" t="s">
        <v>789</v>
      </c>
      <c r="C42" s="513">
        <f>Aug20!O42</f>
        <v>0</v>
      </c>
      <c r="D42" s="301"/>
      <c r="E42" s="25"/>
      <c r="F42" s="26"/>
      <c r="G42" s="27"/>
      <c r="H42" s="28"/>
      <c r="I42" s="25"/>
      <c r="J42" s="26"/>
      <c r="K42" s="27"/>
      <c r="L42" s="28"/>
      <c r="M42" s="27"/>
      <c r="N42" s="26"/>
      <c r="O42" s="299"/>
      <c r="P42" s="62"/>
    </row>
    <row r="43" spans="1:16" s="29" customFormat="1" ht="12.75" customHeight="1">
      <c r="A43" s="49" t="s">
        <v>530</v>
      </c>
      <c r="B43" s="506" t="s">
        <v>533</v>
      </c>
      <c r="C43" s="513">
        <f>Aug20!O43</f>
        <v>40622</v>
      </c>
      <c r="D43" s="301">
        <f>Aug20!P43</f>
        <v>0</v>
      </c>
      <c r="E43" s="25"/>
      <c r="F43" s="26"/>
      <c r="G43" s="27"/>
      <c r="H43" s="28"/>
      <c r="I43" s="25"/>
      <c r="J43" s="26"/>
      <c r="K43" s="27"/>
      <c r="L43" s="28"/>
      <c r="M43" s="27"/>
      <c r="N43" s="26"/>
      <c r="O43" s="299">
        <f t="shared" si="0"/>
        <v>40622</v>
      </c>
      <c r="P43" s="62"/>
    </row>
    <row r="44" spans="1:16" s="29" customFormat="1" ht="12.75">
      <c r="A44" s="49" t="s">
        <v>531</v>
      </c>
      <c r="B44" s="506" t="s">
        <v>532</v>
      </c>
      <c r="C44" s="513">
        <f>Aug20!O44</f>
        <v>0</v>
      </c>
      <c r="D44" s="301">
        <f>Aug20!P44</f>
        <v>9647.73</v>
      </c>
      <c r="E44" s="25"/>
      <c r="F44" s="26"/>
      <c r="G44" s="27"/>
      <c r="H44" s="28"/>
      <c r="I44" s="25"/>
      <c r="J44" s="26"/>
      <c r="K44" s="27"/>
      <c r="L44" s="28"/>
      <c r="M44" s="27"/>
      <c r="N44" s="26"/>
      <c r="O44" s="299"/>
      <c r="P44" s="62">
        <f>D44+F44+H44+J44+L44+N44-C44-E44-G44-I44-K44-M44</f>
        <v>9647.73</v>
      </c>
    </row>
    <row r="45" spans="1:16" s="29" customFormat="1" ht="12.75">
      <c r="A45" s="49" t="s">
        <v>128</v>
      </c>
      <c r="B45" s="506" t="s">
        <v>130</v>
      </c>
      <c r="C45" s="513">
        <f>Aug20!O45</f>
        <v>545970</v>
      </c>
      <c r="D45" s="301">
        <f>Aug20!P45</f>
        <v>0</v>
      </c>
      <c r="E45" s="25"/>
      <c r="F45" s="26"/>
      <c r="G45" s="27"/>
      <c r="H45" s="28"/>
      <c r="I45" s="25"/>
      <c r="J45" s="26"/>
      <c r="K45" s="27"/>
      <c r="L45" s="28"/>
      <c r="M45" s="27"/>
      <c r="N45" s="26"/>
      <c r="O45" s="299">
        <f t="shared" si="0"/>
        <v>545970</v>
      </c>
      <c r="P45" s="62"/>
    </row>
    <row r="46" spans="1:16" s="29" customFormat="1" ht="12.75">
      <c r="A46" s="49" t="s">
        <v>129</v>
      </c>
      <c r="B46" s="506" t="s">
        <v>131</v>
      </c>
      <c r="C46" s="513">
        <f>Aug20!O46</f>
        <v>0</v>
      </c>
      <c r="D46" s="301">
        <f>Aug20!P46</f>
        <v>370243.56</v>
      </c>
      <c r="E46" s="25"/>
      <c r="F46" s="26"/>
      <c r="G46" s="27"/>
      <c r="H46" s="28"/>
      <c r="I46" s="25"/>
      <c r="J46" s="26"/>
      <c r="K46" s="27"/>
      <c r="L46" s="28"/>
      <c r="M46" s="27"/>
      <c r="N46" s="26"/>
      <c r="O46" s="299"/>
      <c r="P46" s="62">
        <f>D46+F46+H46+J46+L46+N46-C46-E46-G46-I46-K46-M46</f>
        <v>370243.56</v>
      </c>
    </row>
    <row r="47" spans="1:16" s="29" customFormat="1" ht="12.75">
      <c r="A47" s="49" t="s">
        <v>41</v>
      </c>
      <c r="B47" s="506" t="s">
        <v>126</v>
      </c>
      <c r="C47" s="513">
        <f>Aug20!O47</f>
        <v>2391000</v>
      </c>
      <c r="D47" s="301">
        <f>Aug20!P47</f>
        <v>0</v>
      </c>
      <c r="E47" s="25"/>
      <c r="F47" s="26"/>
      <c r="G47" s="27"/>
      <c r="H47" s="28"/>
      <c r="I47" s="25"/>
      <c r="J47" s="26"/>
      <c r="K47" s="27"/>
      <c r="L47" s="28"/>
      <c r="M47" s="27"/>
      <c r="N47" s="26"/>
      <c r="O47" s="299">
        <f t="shared" si="0"/>
        <v>2391000</v>
      </c>
      <c r="P47" s="62"/>
    </row>
    <row r="48" spans="1:16" s="29" customFormat="1" ht="12.75">
      <c r="A48" s="49" t="s">
        <v>42</v>
      </c>
      <c r="B48" s="506" t="s">
        <v>127</v>
      </c>
      <c r="C48" s="513">
        <f>Aug20!O48</f>
        <v>0</v>
      </c>
      <c r="D48" s="301">
        <f>Aug20!P48</f>
        <v>854100</v>
      </c>
      <c r="E48" s="25"/>
      <c r="F48" s="26"/>
      <c r="G48" s="27"/>
      <c r="H48" s="28"/>
      <c r="I48" s="25"/>
      <c r="J48" s="26"/>
      <c r="K48" s="27"/>
      <c r="L48" s="28"/>
      <c r="M48" s="27"/>
      <c r="N48" s="26"/>
      <c r="O48" s="299"/>
      <c r="P48" s="62">
        <f>D48+F48+H48+J48+L48+N48-C48-E48-G48-I48-K48-M48</f>
        <v>854100</v>
      </c>
    </row>
    <row r="49" spans="1:16" s="29" customFormat="1" ht="12.75">
      <c r="A49" s="49" t="s">
        <v>13</v>
      </c>
      <c r="B49" s="506" t="s">
        <v>118</v>
      </c>
      <c r="C49" s="513">
        <f>Aug20!O49</f>
        <v>631727.2</v>
      </c>
      <c r="D49" s="301">
        <f>Aug20!P49</f>
        <v>0</v>
      </c>
      <c r="E49" s="25"/>
      <c r="F49" s="26"/>
      <c r="G49" s="27"/>
      <c r="H49" s="28"/>
      <c r="I49" s="25"/>
      <c r="J49" s="26"/>
      <c r="K49" s="27"/>
      <c r="L49" s="28"/>
      <c r="M49" s="27"/>
      <c r="N49" s="26"/>
      <c r="O49" s="299">
        <f t="shared" si="0"/>
        <v>631727.2</v>
      </c>
      <c r="P49" s="62"/>
    </row>
    <row r="50" spans="1:16" s="29" customFormat="1" ht="12.75">
      <c r="A50" s="49" t="s">
        <v>14</v>
      </c>
      <c r="B50" s="506" t="s">
        <v>119</v>
      </c>
      <c r="C50" s="513">
        <f>Aug20!O50</f>
        <v>0</v>
      </c>
      <c r="D50" s="301">
        <f>Aug20!P50</f>
        <v>319092.84</v>
      </c>
      <c r="E50" s="25"/>
      <c r="F50" s="26"/>
      <c r="G50" s="27"/>
      <c r="H50" s="28"/>
      <c r="I50" s="25"/>
      <c r="J50" s="26"/>
      <c r="K50" s="27"/>
      <c r="L50" s="28"/>
      <c r="M50" s="27"/>
      <c r="N50" s="26"/>
      <c r="O50" s="299"/>
      <c r="P50" s="62">
        <f>D50+F50+H50+J50+L50+N50-C50-E50-G50-I50-K50-M50</f>
        <v>319092.84</v>
      </c>
    </row>
    <row r="51" spans="1:17" s="29" customFormat="1" ht="12.75">
      <c r="A51" s="49" t="s">
        <v>680</v>
      </c>
      <c r="B51" s="506" t="s">
        <v>681</v>
      </c>
      <c r="C51" s="513">
        <f>Aug20!O51</f>
        <v>0</v>
      </c>
      <c r="D51" s="301">
        <f>Aug20!P51</f>
        <v>0</v>
      </c>
      <c r="E51" s="25"/>
      <c r="F51" s="26"/>
      <c r="G51" s="27"/>
      <c r="H51" s="28"/>
      <c r="I51" s="25"/>
      <c r="J51" s="26"/>
      <c r="K51" s="27"/>
      <c r="L51" s="28"/>
      <c r="M51" s="27"/>
      <c r="N51" s="26"/>
      <c r="O51" s="299">
        <f t="shared" si="0"/>
        <v>0</v>
      </c>
      <c r="P51" s="62"/>
      <c r="Q51" s="55"/>
    </row>
    <row r="52" spans="1:17" s="29" customFormat="1" ht="12.75" customHeight="1">
      <c r="A52" s="49" t="s">
        <v>683</v>
      </c>
      <c r="B52" s="506" t="s">
        <v>682</v>
      </c>
      <c r="C52" s="513">
        <f>Aug20!O52</f>
        <v>0</v>
      </c>
      <c r="D52" s="301">
        <f>Aug20!P52</f>
        <v>0</v>
      </c>
      <c r="E52" s="25"/>
      <c r="F52" s="26"/>
      <c r="G52" s="27"/>
      <c r="H52" s="28"/>
      <c r="I52" s="25"/>
      <c r="J52" s="26"/>
      <c r="K52" s="27"/>
      <c r="L52" s="28"/>
      <c r="M52" s="27"/>
      <c r="N52" s="26"/>
      <c r="O52" s="299"/>
      <c r="P52" s="62">
        <f>D52+F52+H52+J52+L52+N52-C52-E52-G52-I52-K52-M52</f>
        <v>0</v>
      </c>
      <c r="Q52" s="55"/>
    </row>
    <row r="53" spans="1:17" s="29" customFormat="1" ht="12.75" customHeight="1">
      <c r="A53" s="49" t="s">
        <v>559</v>
      </c>
      <c r="B53" s="506" t="s">
        <v>558</v>
      </c>
      <c r="C53" s="513">
        <f>Aug20!O53</f>
        <v>0</v>
      </c>
      <c r="D53" s="301">
        <f>Aug20!P53</f>
        <v>0</v>
      </c>
      <c r="E53" s="25"/>
      <c r="F53" s="26"/>
      <c r="G53" s="27"/>
      <c r="H53" s="28"/>
      <c r="I53" s="25"/>
      <c r="J53" s="26"/>
      <c r="K53" s="27"/>
      <c r="L53" s="28"/>
      <c r="M53" s="27"/>
      <c r="N53" s="26"/>
      <c r="O53" s="299">
        <f t="shared" si="0"/>
        <v>0</v>
      </c>
      <c r="P53" s="62"/>
      <c r="Q53" s="55"/>
    </row>
    <row r="54" spans="1:16" s="29" customFormat="1" ht="12.75">
      <c r="A54" s="54" t="s">
        <v>15</v>
      </c>
      <c r="B54" s="506" t="s">
        <v>132</v>
      </c>
      <c r="C54" s="513">
        <f>Aug20!O54</f>
        <v>327763.39</v>
      </c>
      <c r="D54" s="301">
        <f>Aug20!P54</f>
        <v>0</v>
      </c>
      <c r="E54" s="25"/>
      <c r="F54" s="26"/>
      <c r="G54" s="27"/>
      <c r="H54" s="28"/>
      <c r="I54" s="25"/>
      <c r="J54" s="26"/>
      <c r="K54" s="27"/>
      <c r="L54" s="28"/>
      <c r="M54" s="27"/>
      <c r="N54" s="26"/>
      <c r="O54" s="299">
        <f t="shared" si="0"/>
        <v>327763.39</v>
      </c>
      <c r="P54" s="62"/>
    </row>
    <row r="55" spans="1:16" s="29" customFormat="1" ht="12.75">
      <c r="A55" s="8"/>
      <c r="B55" s="508"/>
      <c r="C55" s="513">
        <f>Aug20!O55</f>
        <v>0</v>
      </c>
      <c r="D55" s="301">
        <f>Aug20!P55</f>
        <v>0</v>
      </c>
      <c r="E55" s="25"/>
      <c r="F55" s="26"/>
      <c r="G55" s="27"/>
      <c r="H55" s="28"/>
      <c r="I55" s="25"/>
      <c r="J55" s="26"/>
      <c r="K55" s="27"/>
      <c r="L55" s="28"/>
      <c r="M55" s="27"/>
      <c r="N55" s="26"/>
      <c r="O55" s="299"/>
      <c r="P55" s="62">
        <f aca="true" t="shared" si="1" ref="P55:P66">D55+F55+H55+J55+L55+N55-C55-E55-G55-I55-K55-M55</f>
        <v>0</v>
      </c>
    </row>
    <row r="56" spans="1:17" s="29" customFormat="1" ht="12.75">
      <c r="A56" s="7" t="s">
        <v>16</v>
      </c>
      <c r="B56" s="508"/>
      <c r="C56" s="513">
        <f>Aug20!O56</f>
        <v>0</v>
      </c>
      <c r="D56" s="301">
        <f>Aug20!P56</f>
        <v>0</v>
      </c>
      <c r="E56" s="25"/>
      <c r="F56" s="26"/>
      <c r="G56" s="27"/>
      <c r="H56" s="28"/>
      <c r="I56" s="25"/>
      <c r="J56" s="26"/>
      <c r="K56" s="27"/>
      <c r="L56" s="28"/>
      <c r="M56" s="27"/>
      <c r="N56" s="27"/>
      <c r="O56" s="299"/>
      <c r="P56" s="62">
        <f t="shared" si="1"/>
        <v>0</v>
      </c>
      <c r="Q56" s="55"/>
    </row>
    <row r="57" spans="1:17" s="29" customFormat="1" ht="12.75">
      <c r="A57" s="49" t="s">
        <v>31</v>
      </c>
      <c r="B57" s="506" t="s">
        <v>133</v>
      </c>
      <c r="C57" s="513">
        <f>Aug20!O57</f>
        <v>0</v>
      </c>
      <c r="D57" s="301">
        <f>Aug20!P57</f>
        <v>35250</v>
      </c>
      <c r="E57" s="25"/>
      <c r="F57" s="26"/>
      <c r="G57" s="27"/>
      <c r="H57" s="28"/>
      <c r="I57" s="25"/>
      <c r="J57" s="26"/>
      <c r="K57" s="27"/>
      <c r="L57" s="28"/>
      <c r="M57" s="27"/>
      <c r="N57" s="26"/>
      <c r="O57" s="299"/>
      <c r="P57" s="62">
        <f t="shared" si="1"/>
        <v>35250</v>
      </c>
      <c r="Q57" s="55"/>
    </row>
    <row r="58" spans="1:17" s="29" customFormat="1" ht="12.75">
      <c r="A58" s="49" t="s">
        <v>46</v>
      </c>
      <c r="B58" s="506" t="s">
        <v>134</v>
      </c>
      <c r="C58" s="513">
        <f>Aug20!O58</f>
        <v>0</v>
      </c>
      <c r="D58" s="301">
        <f>Aug20!P58</f>
        <v>212632.62999999998</v>
      </c>
      <c r="E58" s="326"/>
      <c r="F58" s="25">
        <v>250699.78</v>
      </c>
      <c r="G58" s="27"/>
      <c r="H58" s="28"/>
      <c r="I58" s="25"/>
      <c r="J58" s="26"/>
      <c r="K58" s="27"/>
      <c r="L58" s="28"/>
      <c r="M58" s="26">
        <v>212632.63</v>
      </c>
      <c r="N58" s="26"/>
      <c r="O58" s="299"/>
      <c r="P58" s="62">
        <f t="shared" si="1"/>
        <v>250699.77999999997</v>
      </c>
      <c r="Q58" s="55"/>
    </row>
    <row r="59" spans="1:16" s="29" customFormat="1" ht="12.75">
      <c r="A59" s="74" t="s">
        <v>685</v>
      </c>
      <c r="B59" s="507" t="s">
        <v>684</v>
      </c>
      <c r="C59" s="513">
        <f>Aug20!O59</f>
        <v>0</v>
      </c>
      <c r="D59" s="301">
        <f>Aug20!P59</f>
        <v>664874.2500000002</v>
      </c>
      <c r="E59" s="25">
        <v>186701.31</v>
      </c>
      <c r="F59" s="26">
        <v>99825.48</v>
      </c>
      <c r="G59" s="27"/>
      <c r="H59" s="28"/>
      <c r="I59" s="25"/>
      <c r="J59" s="26"/>
      <c r="K59" s="27"/>
      <c r="L59" s="28"/>
      <c r="M59" s="27"/>
      <c r="N59" s="27"/>
      <c r="O59" s="299"/>
      <c r="P59" s="62">
        <f t="shared" si="1"/>
        <v>577998.4200000002</v>
      </c>
    </row>
    <row r="60" spans="1:17" s="29" customFormat="1" ht="12.75">
      <c r="A60" s="74" t="s">
        <v>686</v>
      </c>
      <c r="B60" s="507" t="s">
        <v>688</v>
      </c>
      <c r="C60" s="513">
        <f>Aug20!O60</f>
        <v>0</v>
      </c>
      <c r="D60" s="301">
        <f>Aug20!P60</f>
        <v>148752.34999999998</v>
      </c>
      <c r="E60" s="25">
        <v>276608.18</v>
      </c>
      <c r="F60" s="26">
        <v>138304.09</v>
      </c>
      <c r="G60" s="27"/>
      <c r="H60" s="28"/>
      <c r="I60" s="25"/>
      <c r="J60" s="26"/>
      <c r="K60" s="27"/>
      <c r="L60" s="28"/>
      <c r="M60" s="27"/>
      <c r="N60" s="26"/>
      <c r="O60" s="299"/>
      <c r="P60" s="62">
        <f t="shared" si="1"/>
        <v>10448.259999999951</v>
      </c>
      <c r="Q60" s="55"/>
    </row>
    <row r="61" spans="1:16" s="29" customFormat="1" ht="12.75">
      <c r="A61" s="74" t="s">
        <v>687</v>
      </c>
      <c r="B61" s="507" t="s">
        <v>689</v>
      </c>
      <c r="C61" s="513">
        <f>Aug20!O61</f>
        <v>0</v>
      </c>
      <c r="D61" s="301">
        <f>Aug20!P61</f>
        <v>12927.859999999997</v>
      </c>
      <c r="E61" s="25">
        <v>2600</v>
      </c>
      <c r="F61" s="26">
        <v>1450</v>
      </c>
      <c r="G61" s="27"/>
      <c r="H61" s="28"/>
      <c r="I61" s="25"/>
      <c r="J61" s="26"/>
      <c r="K61" s="27"/>
      <c r="L61" s="28"/>
      <c r="M61" s="27"/>
      <c r="N61" s="26"/>
      <c r="O61" s="299"/>
      <c r="P61" s="62">
        <f t="shared" si="1"/>
        <v>11777.859999999997</v>
      </c>
    </row>
    <row r="62" spans="1:16" s="29" customFormat="1" ht="12.75">
      <c r="A62" s="49" t="s">
        <v>690</v>
      </c>
      <c r="B62" s="506" t="s">
        <v>692</v>
      </c>
      <c r="C62" s="513">
        <f>Aug20!O62</f>
        <v>0</v>
      </c>
      <c r="D62" s="301">
        <f>Aug20!P62</f>
        <v>8611.039999999999</v>
      </c>
      <c r="E62" s="25">
        <v>6169.36</v>
      </c>
      <c r="F62" s="26">
        <v>3084.68</v>
      </c>
      <c r="G62" s="27"/>
      <c r="H62" s="28"/>
      <c r="I62" s="25"/>
      <c r="J62" s="26"/>
      <c r="K62" s="27"/>
      <c r="L62" s="28"/>
      <c r="M62" s="27"/>
      <c r="N62" s="26"/>
      <c r="O62" s="299"/>
      <c r="P62" s="62">
        <f t="shared" si="1"/>
        <v>5526.36</v>
      </c>
    </row>
    <row r="63" spans="1:17" s="29" customFormat="1" ht="12.75">
      <c r="A63" s="49" t="s">
        <v>691</v>
      </c>
      <c r="B63" s="506" t="s">
        <v>693</v>
      </c>
      <c r="C63" s="513">
        <f>Aug20!O63</f>
        <v>0</v>
      </c>
      <c r="D63" s="301">
        <f>Aug20!P63</f>
        <v>3011.45</v>
      </c>
      <c r="E63" s="25">
        <v>1853.56</v>
      </c>
      <c r="F63" s="26">
        <v>926.78</v>
      </c>
      <c r="G63" s="27"/>
      <c r="H63" s="28"/>
      <c r="I63" s="25"/>
      <c r="J63" s="26"/>
      <c r="K63" s="27"/>
      <c r="L63" s="28"/>
      <c r="M63" s="27"/>
      <c r="N63" s="26"/>
      <c r="O63" s="299"/>
      <c r="P63" s="62">
        <f t="shared" si="1"/>
        <v>2084.6699999999996</v>
      </c>
      <c r="Q63" s="290"/>
    </row>
    <row r="64" spans="1:17" s="29" customFormat="1" ht="12.75">
      <c r="A64" s="49" t="s">
        <v>47</v>
      </c>
      <c r="B64" s="506" t="s">
        <v>137</v>
      </c>
      <c r="C64" s="513">
        <f>Aug20!O64</f>
        <v>0</v>
      </c>
      <c r="D64" s="301">
        <f>Aug20!P64</f>
        <v>28472.55000000001</v>
      </c>
      <c r="E64" s="25">
        <v>25515.06</v>
      </c>
      <c r="F64" s="26">
        <v>12757.56</v>
      </c>
      <c r="G64" s="27"/>
      <c r="H64" s="28"/>
      <c r="I64" s="25"/>
      <c r="J64" s="26"/>
      <c r="K64" s="27"/>
      <c r="L64" s="28"/>
      <c r="M64" s="27"/>
      <c r="N64" s="26"/>
      <c r="O64" s="299"/>
      <c r="P64" s="62">
        <f t="shared" si="1"/>
        <v>15715.050000000007</v>
      </c>
      <c r="Q64" s="290"/>
    </row>
    <row r="65" spans="1:17" s="29" customFormat="1" ht="12.75">
      <c r="A65" s="74" t="s">
        <v>59</v>
      </c>
      <c r="B65" s="507" t="s">
        <v>138</v>
      </c>
      <c r="C65" s="513">
        <f>Aug20!O65</f>
        <v>0</v>
      </c>
      <c r="D65" s="301">
        <f>Aug20!P65</f>
        <v>74192.32000000004</v>
      </c>
      <c r="E65" s="25">
        <v>166628.53</v>
      </c>
      <c r="F65" s="26">
        <v>90568.17</v>
      </c>
      <c r="G65" s="27"/>
      <c r="H65" s="28"/>
      <c r="I65" s="25"/>
      <c r="J65" s="26"/>
      <c r="K65" s="27"/>
      <c r="L65" s="28"/>
      <c r="M65" s="27"/>
      <c r="N65" s="26"/>
      <c r="O65" s="299"/>
      <c r="P65" s="62">
        <f t="shared" si="1"/>
        <v>-1868.03999999995</v>
      </c>
      <c r="Q65" s="290"/>
    </row>
    <row r="66" spans="1:17" s="29" customFormat="1" ht="12.75">
      <c r="A66" s="49" t="s">
        <v>17</v>
      </c>
      <c r="B66" s="506" t="s">
        <v>139</v>
      </c>
      <c r="C66" s="513">
        <f>Aug20!O66</f>
        <v>0</v>
      </c>
      <c r="D66" s="301">
        <f>Aug20!P66</f>
        <v>0</v>
      </c>
      <c r="E66" s="25"/>
      <c r="F66" s="26"/>
      <c r="G66" s="27"/>
      <c r="H66" s="28"/>
      <c r="I66" s="25"/>
      <c r="J66" s="26"/>
      <c r="K66" s="27"/>
      <c r="L66" s="28"/>
      <c r="M66" s="27"/>
      <c r="N66" s="26"/>
      <c r="O66" s="299"/>
      <c r="P66" s="62">
        <f t="shared" si="1"/>
        <v>0</v>
      </c>
      <c r="Q66" s="290"/>
    </row>
    <row r="67" spans="1:17" s="29" customFormat="1" ht="12.75">
      <c r="A67" s="8"/>
      <c r="B67" s="508"/>
      <c r="C67" s="513">
        <f>Aug20!O67</f>
        <v>0</v>
      </c>
      <c r="D67" s="301">
        <f>Aug20!P67</f>
        <v>0</v>
      </c>
      <c r="E67" s="25"/>
      <c r="F67" s="26"/>
      <c r="G67" s="27"/>
      <c r="H67" s="28"/>
      <c r="I67" s="25"/>
      <c r="J67" s="26"/>
      <c r="K67" s="27"/>
      <c r="L67" s="28"/>
      <c r="M67" s="27"/>
      <c r="N67" s="26"/>
      <c r="O67" s="299"/>
      <c r="P67" s="62"/>
      <c r="Q67" s="290"/>
    </row>
    <row r="68" spans="1:17" s="29" customFormat="1" ht="12.75">
      <c r="A68" s="7" t="s">
        <v>32</v>
      </c>
      <c r="B68" s="508"/>
      <c r="C68" s="513">
        <f>Aug20!O68</f>
        <v>0</v>
      </c>
      <c r="D68" s="301">
        <f>Aug20!P68</f>
        <v>0</v>
      </c>
      <c r="E68" s="25"/>
      <c r="F68" s="26"/>
      <c r="G68" s="27"/>
      <c r="H68" s="28"/>
      <c r="I68" s="25"/>
      <c r="J68" s="26"/>
      <c r="K68" s="27"/>
      <c r="L68" s="28"/>
      <c r="M68" s="27"/>
      <c r="N68" s="26"/>
      <c r="O68" s="299"/>
      <c r="P68" s="62"/>
      <c r="Q68" s="290"/>
    </row>
    <row r="69" spans="1:17" s="29" customFormat="1" ht="12.75">
      <c r="A69" s="49" t="s">
        <v>18</v>
      </c>
      <c r="B69" s="506" t="s">
        <v>140</v>
      </c>
      <c r="C69" s="513">
        <f>Aug20!O69</f>
        <v>0</v>
      </c>
      <c r="D69" s="301">
        <f>Aug20!P69</f>
        <v>93682852.88</v>
      </c>
      <c r="E69" s="25"/>
      <c r="F69" s="26"/>
      <c r="G69" s="27"/>
      <c r="H69" s="28"/>
      <c r="I69" s="25"/>
      <c r="J69" s="26"/>
      <c r="K69" s="27"/>
      <c r="L69" s="28"/>
      <c r="M69" s="27"/>
      <c r="N69" s="26"/>
      <c r="O69" s="299"/>
      <c r="P69" s="62">
        <f>D69+F69+H69+J69+L69+N69-C69-E69-G69-I69-K69-M69</f>
        <v>93682852.88</v>
      </c>
      <c r="Q69" s="290"/>
    </row>
    <row r="70" spans="1:17" s="29" customFormat="1" ht="13.5" customHeight="1">
      <c r="A70" s="49" t="s">
        <v>142</v>
      </c>
      <c r="B70" s="508" t="s">
        <v>141</v>
      </c>
      <c r="C70" s="513">
        <f>Aug20!O70</f>
        <v>0</v>
      </c>
      <c r="D70" s="301">
        <f>Aug20!P70</f>
        <v>95842869.47999999</v>
      </c>
      <c r="E70" s="25"/>
      <c r="F70" s="26"/>
      <c r="G70" s="27"/>
      <c r="H70" s="28"/>
      <c r="I70" s="25"/>
      <c r="J70" s="26"/>
      <c r="K70" s="27"/>
      <c r="L70" s="28"/>
      <c r="M70" s="27"/>
      <c r="N70" s="26">
        <f>449126+212632.63</f>
        <v>661758.63</v>
      </c>
      <c r="O70" s="299"/>
      <c r="P70" s="62">
        <f>D70+F70+H70+J70+L70+N70-C70-E70-G70-I70-K70-M70</f>
        <v>96504628.10999998</v>
      </c>
      <c r="Q70" s="290"/>
    </row>
    <row r="71" spans="1:17" s="29" customFormat="1" ht="13.5" customHeight="1">
      <c r="A71" s="49" t="s">
        <v>673</v>
      </c>
      <c r="B71" s="249" t="s">
        <v>745</v>
      </c>
      <c r="C71" s="513">
        <f>Aug20!O71</f>
        <v>0</v>
      </c>
      <c r="D71" s="301">
        <f>Aug20!P71</f>
        <v>74663478.65</v>
      </c>
      <c r="E71" s="25"/>
      <c r="F71" s="26"/>
      <c r="G71" s="27"/>
      <c r="H71" s="28"/>
      <c r="I71" s="25"/>
      <c r="J71" s="26"/>
      <c r="K71" s="27"/>
      <c r="L71" s="28"/>
      <c r="M71" s="27"/>
      <c r="N71" s="26">
        <f>46218.41+449126.11+1136534.6+5800+1967107.2</f>
        <v>3604786.3200000003</v>
      </c>
      <c r="O71" s="299"/>
      <c r="P71" s="62">
        <f>D71+F71+H71+J71+L71+N71-C71-E71-G71-I71-K71-M71</f>
        <v>78268264.97</v>
      </c>
      <c r="Q71" s="531"/>
    </row>
    <row r="72" spans="1:17" s="29" customFormat="1" ht="12.75" customHeight="1">
      <c r="A72" s="49"/>
      <c r="B72" s="508"/>
      <c r="C72" s="513">
        <f>Aug20!O72</f>
        <v>0</v>
      </c>
      <c r="D72" s="301">
        <f>Aug20!P72</f>
        <v>0</v>
      </c>
      <c r="E72" s="25"/>
      <c r="F72" s="26"/>
      <c r="G72" s="27"/>
      <c r="H72" s="28"/>
      <c r="I72" s="25"/>
      <c r="J72" s="26"/>
      <c r="K72" s="27"/>
      <c r="L72" s="28"/>
      <c r="M72" s="27"/>
      <c r="N72" s="26"/>
      <c r="O72" s="299"/>
      <c r="P72" s="62"/>
      <c r="Q72" s="290"/>
    </row>
    <row r="73" spans="1:17" s="29" customFormat="1" ht="12.75">
      <c r="A73" s="4" t="s">
        <v>19</v>
      </c>
      <c r="B73" s="509"/>
      <c r="C73" s="513">
        <f>Aug20!O73</f>
        <v>0</v>
      </c>
      <c r="D73" s="301">
        <f>Aug20!P73</f>
        <v>0</v>
      </c>
      <c r="E73" s="25"/>
      <c r="F73" s="26"/>
      <c r="G73" s="27"/>
      <c r="H73" s="28"/>
      <c r="I73" s="25"/>
      <c r="J73" s="26"/>
      <c r="K73" s="27"/>
      <c r="L73" s="28"/>
      <c r="M73" s="27"/>
      <c r="N73" s="26"/>
      <c r="O73" s="299"/>
      <c r="P73" s="62"/>
      <c r="Q73" s="290"/>
    </row>
    <row r="74" spans="1:17" s="29" customFormat="1" ht="12.75">
      <c r="A74" s="23" t="s">
        <v>143</v>
      </c>
      <c r="B74" s="250" t="s">
        <v>144</v>
      </c>
      <c r="C74" s="513">
        <f>Aug20!O74</f>
        <v>9902641.87</v>
      </c>
      <c r="D74" s="301">
        <f>Aug20!P74</f>
        <v>0</v>
      </c>
      <c r="E74" s="25">
        <v>1119805.03</v>
      </c>
      <c r="F74" s="26"/>
      <c r="G74" s="27"/>
      <c r="H74" s="28"/>
      <c r="I74" s="25"/>
      <c r="J74" s="26"/>
      <c r="K74" s="27"/>
      <c r="L74" s="28"/>
      <c r="M74" s="27"/>
      <c r="N74" s="26"/>
      <c r="O74" s="299">
        <f t="shared" si="0"/>
        <v>11022446.899999999</v>
      </c>
      <c r="P74" s="62"/>
      <c r="Q74" s="290"/>
    </row>
    <row r="75" spans="1:17" s="29" customFormat="1" ht="12.75">
      <c r="A75" s="23" t="s">
        <v>20</v>
      </c>
      <c r="B75" s="250" t="s">
        <v>145</v>
      </c>
      <c r="C75" s="513">
        <f>Aug20!O75</f>
        <v>341000</v>
      </c>
      <c r="D75" s="301">
        <f>Aug20!P75</f>
        <v>0</v>
      </c>
      <c r="E75" s="25">
        <v>42000</v>
      </c>
      <c r="F75" s="26"/>
      <c r="G75" s="27"/>
      <c r="H75" s="28"/>
      <c r="I75" s="25"/>
      <c r="J75" s="26"/>
      <c r="K75" s="27"/>
      <c r="L75" s="28"/>
      <c r="M75" s="27"/>
      <c r="N75" s="26"/>
      <c r="O75" s="299">
        <f t="shared" si="0"/>
        <v>383000</v>
      </c>
      <c r="P75" s="62"/>
      <c r="Q75" s="290"/>
    </row>
    <row r="76" spans="1:17" s="29" customFormat="1" ht="12.75">
      <c r="A76" s="23" t="s">
        <v>21</v>
      </c>
      <c r="B76" s="250" t="s">
        <v>146</v>
      </c>
      <c r="C76" s="513">
        <f>Aug20!O76</f>
        <v>152000</v>
      </c>
      <c r="D76" s="301">
        <f>Aug20!P76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299">
        <f t="shared" si="0"/>
        <v>171000</v>
      </c>
      <c r="P76" s="62"/>
      <c r="Q76" s="290"/>
    </row>
    <row r="77" spans="1:17" s="29" customFormat="1" ht="12.75">
      <c r="A77" s="23" t="s">
        <v>22</v>
      </c>
      <c r="B77" s="250" t="s">
        <v>147</v>
      </c>
      <c r="C77" s="513">
        <f>Aug20!O77</f>
        <v>152000</v>
      </c>
      <c r="D77" s="301">
        <f>Aug20!P77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299">
        <f t="shared" si="0"/>
        <v>171000</v>
      </c>
      <c r="P77" s="62"/>
      <c r="Q77" s="290"/>
    </row>
    <row r="78" spans="1:17" s="29" customFormat="1" ht="12.75">
      <c r="A78" s="23" t="s">
        <v>67</v>
      </c>
      <c r="B78" s="250" t="s">
        <v>527</v>
      </c>
      <c r="C78" s="513">
        <f>Aug20!O78</f>
        <v>408000</v>
      </c>
      <c r="D78" s="301">
        <f>Aug20!P78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299">
        <f t="shared" si="0"/>
        <v>408000</v>
      </c>
      <c r="P78" s="62"/>
      <c r="Q78" s="290"/>
    </row>
    <row r="79" spans="1:17" s="29" customFormat="1" ht="12.75" hidden="1">
      <c r="A79" s="23" t="s">
        <v>149</v>
      </c>
      <c r="B79" s="250" t="s">
        <v>148</v>
      </c>
      <c r="C79" s="513">
        <f>Aug20!O79</f>
        <v>0</v>
      </c>
      <c r="D79" s="301">
        <f>Aug20!P79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299">
        <f t="shared" si="0"/>
        <v>0</v>
      </c>
      <c r="P79" s="62"/>
      <c r="Q79" s="290"/>
    </row>
    <row r="80" spans="1:17" s="29" customFormat="1" ht="12.75" hidden="1">
      <c r="A80" s="23" t="s">
        <v>66</v>
      </c>
      <c r="B80" s="250" t="s">
        <v>150</v>
      </c>
      <c r="C80" s="513">
        <f>Aug20!O80</f>
        <v>0</v>
      </c>
      <c r="D80" s="301">
        <f>Aug20!P80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299">
        <f t="shared" si="0"/>
        <v>0</v>
      </c>
      <c r="P80" s="62"/>
      <c r="Q80" s="290"/>
    </row>
    <row r="81" spans="1:17" s="29" customFormat="1" ht="12.75" customHeight="1" hidden="1">
      <c r="A81" s="23" t="s">
        <v>221</v>
      </c>
      <c r="B81" s="250" t="s">
        <v>537</v>
      </c>
      <c r="C81" s="513">
        <f>Aug20!O81</f>
        <v>0</v>
      </c>
      <c r="D81" s="301">
        <f>Aug20!P81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299">
        <f t="shared" si="0"/>
        <v>0</v>
      </c>
      <c r="P81" s="62"/>
      <c r="Q81" s="290"/>
    </row>
    <row r="82" spans="1:17" s="29" customFormat="1" ht="12.75">
      <c r="A82" s="23" t="s">
        <v>76</v>
      </c>
      <c r="B82" s="250" t="s">
        <v>153</v>
      </c>
      <c r="C82" s="513">
        <f>Aug20!O82</f>
        <v>0</v>
      </c>
      <c r="D82" s="301">
        <f>Aug20!P82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299">
        <f t="shared" si="0"/>
        <v>0</v>
      </c>
      <c r="P82" s="62"/>
      <c r="Q82" s="290"/>
    </row>
    <row r="83" spans="1:17" s="29" customFormat="1" ht="12.75" hidden="1">
      <c r="A83" s="23" t="s">
        <v>242</v>
      </c>
      <c r="B83" s="250" t="s">
        <v>234</v>
      </c>
      <c r="C83" s="513">
        <f>Aug20!O83</f>
        <v>0</v>
      </c>
      <c r="D83" s="301">
        <f>Aug20!P83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299">
        <f t="shared" si="0"/>
        <v>0</v>
      </c>
      <c r="P83" s="62"/>
      <c r="Q83" s="290"/>
    </row>
    <row r="84" spans="1:17" s="29" customFormat="1" ht="13.5" customHeight="1" hidden="1">
      <c r="A84" s="23" t="s">
        <v>75</v>
      </c>
      <c r="B84" s="250" t="s">
        <v>152</v>
      </c>
      <c r="C84" s="513">
        <f>Aug20!O84</f>
        <v>0</v>
      </c>
      <c r="D84" s="301">
        <f>Aug20!P84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299">
        <f t="shared" si="0"/>
        <v>0</v>
      </c>
      <c r="P84" s="62"/>
      <c r="Q84" s="290"/>
    </row>
    <row r="85" spans="1:17" s="29" customFormat="1" ht="12.75" hidden="1">
      <c r="A85" s="23" t="s">
        <v>70</v>
      </c>
      <c r="B85" s="250" t="s">
        <v>151</v>
      </c>
      <c r="C85" s="513">
        <f>Aug20!O85</f>
        <v>0</v>
      </c>
      <c r="D85" s="301">
        <f>Aug20!P85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299">
        <f t="shared" si="0"/>
        <v>0</v>
      </c>
      <c r="P85" s="62"/>
      <c r="Q85" s="290"/>
    </row>
    <row r="86" spans="1:17" s="29" customFormat="1" ht="12.75">
      <c r="A86" s="23" t="s">
        <v>562</v>
      </c>
      <c r="B86" s="250" t="s">
        <v>563</v>
      </c>
      <c r="C86" s="513">
        <f>Aug20!O86</f>
        <v>193000</v>
      </c>
      <c r="D86" s="301">
        <f>Aug20!P86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299">
        <f aca="true" t="shared" si="2" ref="O86:O149">C86+E86+I86+M86-D86-F86-J86-N86+G86-H86+K86-L86</f>
        <v>193000</v>
      </c>
      <c r="P86" s="62"/>
      <c r="Q86" s="290"/>
    </row>
    <row r="87" spans="1:17" s="29" customFormat="1" ht="12.75">
      <c r="A87" s="23" t="s">
        <v>564</v>
      </c>
      <c r="B87" s="250" t="s">
        <v>565</v>
      </c>
      <c r="C87" s="513">
        <f>Aug20!O87</f>
        <v>0</v>
      </c>
      <c r="D87" s="301">
        <f>Aug20!P87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299">
        <f t="shared" si="2"/>
        <v>0</v>
      </c>
      <c r="P87" s="62"/>
      <c r="Q87" s="290"/>
    </row>
    <row r="88" spans="1:17" s="29" customFormat="1" ht="12.75">
      <c r="A88" s="23" t="s">
        <v>553</v>
      </c>
      <c r="B88" s="250" t="s">
        <v>554</v>
      </c>
      <c r="C88" s="513">
        <f>Aug20!O88</f>
        <v>0</v>
      </c>
      <c r="D88" s="301">
        <f>Aug20!P88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299">
        <f t="shared" si="2"/>
        <v>0</v>
      </c>
      <c r="P88" s="62"/>
      <c r="Q88" s="290"/>
    </row>
    <row r="89" spans="1:17" s="29" customFormat="1" ht="12.75">
      <c r="A89" s="23" t="s">
        <v>33</v>
      </c>
      <c r="B89" s="250" t="s">
        <v>154</v>
      </c>
      <c r="C89" s="513">
        <f>Aug20!O89</f>
        <v>274097.64</v>
      </c>
      <c r="D89" s="301">
        <f>Aug20!P89</f>
        <v>0</v>
      </c>
      <c r="E89" s="25"/>
      <c r="F89" s="26"/>
      <c r="G89" s="27"/>
      <c r="H89" s="28"/>
      <c r="I89" s="25"/>
      <c r="J89" s="26"/>
      <c r="K89" s="27"/>
      <c r="L89" s="28"/>
      <c r="M89" s="27"/>
      <c r="N89" s="26"/>
      <c r="O89" s="299">
        <f t="shared" si="2"/>
        <v>274097.64</v>
      </c>
      <c r="P89" s="62"/>
      <c r="Q89" s="290"/>
    </row>
    <row r="90" spans="1:17" s="29" customFormat="1" ht="12.75">
      <c r="A90" s="23" t="s">
        <v>34</v>
      </c>
      <c r="B90" s="250" t="s">
        <v>155</v>
      </c>
      <c r="C90" s="513">
        <f>Aug20!O90</f>
        <v>21892.76</v>
      </c>
      <c r="D90" s="301">
        <f>Aug20!P90</f>
        <v>0</v>
      </c>
      <c r="E90" s="25">
        <v>6169.36</v>
      </c>
      <c r="F90" s="26"/>
      <c r="G90" s="27"/>
      <c r="H90" s="28"/>
      <c r="I90" s="25"/>
      <c r="J90" s="26"/>
      <c r="K90" s="27"/>
      <c r="L90" s="28"/>
      <c r="M90" s="27"/>
      <c r="N90" s="26"/>
      <c r="O90" s="299">
        <f t="shared" si="2"/>
        <v>28062.12</v>
      </c>
      <c r="P90" s="62"/>
      <c r="Q90" s="290"/>
    </row>
    <row r="91" spans="1:17" s="29" customFormat="1" ht="12.75">
      <c r="A91" s="23" t="s">
        <v>35</v>
      </c>
      <c r="B91" s="250" t="s">
        <v>156</v>
      </c>
      <c r="C91" s="513">
        <f>Aug20!O91</f>
        <v>104751.81999999999</v>
      </c>
      <c r="D91" s="301">
        <f>Aug20!P91</f>
        <v>0</v>
      </c>
      <c r="E91" s="25">
        <v>25515.18</v>
      </c>
      <c r="F91" s="26"/>
      <c r="G91" s="27"/>
      <c r="H91" s="28"/>
      <c r="I91" s="25"/>
      <c r="J91" s="26"/>
      <c r="K91" s="27"/>
      <c r="L91" s="28"/>
      <c r="M91" s="27"/>
      <c r="N91" s="26"/>
      <c r="O91" s="299">
        <f t="shared" si="2"/>
        <v>130267</v>
      </c>
      <c r="P91" s="62"/>
      <c r="Q91" s="290"/>
    </row>
    <row r="92" spans="1:17" s="29" customFormat="1" ht="12.75">
      <c r="A92" s="23" t="s">
        <v>36</v>
      </c>
      <c r="B92" s="250" t="s">
        <v>157</v>
      </c>
      <c r="C92" s="513">
        <f>Aug20!O92</f>
        <v>14000</v>
      </c>
      <c r="D92" s="301">
        <f>Aug20!P92</f>
        <v>0</v>
      </c>
      <c r="E92" s="25">
        <v>4200</v>
      </c>
      <c r="F92" s="26"/>
      <c r="G92" s="27"/>
      <c r="H92" s="28"/>
      <c r="I92" s="25"/>
      <c r="J92" s="26"/>
      <c r="K92" s="27"/>
      <c r="L92" s="28"/>
      <c r="M92" s="27"/>
      <c r="N92" s="26"/>
      <c r="O92" s="299">
        <f t="shared" si="2"/>
        <v>18200</v>
      </c>
      <c r="P92" s="62"/>
      <c r="Q92" s="290"/>
    </row>
    <row r="93" spans="1:17" s="29" customFormat="1" ht="12.75">
      <c r="A93" s="23" t="s">
        <v>698</v>
      </c>
      <c r="B93" s="250" t="s">
        <v>699</v>
      </c>
      <c r="C93" s="513">
        <f>Aug20!O93</f>
        <v>0</v>
      </c>
      <c r="D93" s="301">
        <f>Aug20!P93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299">
        <f t="shared" si="2"/>
        <v>0</v>
      </c>
      <c r="P93" s="62"/>
      <c r="Q93" s="290"/>
    </row>
    <row r="94" spans="1:17" s="29" customFormat="1" ht="12.75">
      <c r="A94" s="23" t="s">
        <v>208</v>
      </c>
      <c r="B94" s="250" t="s">
        <v>207</v>
      </c>
      <c r="C94" s="513">
        <f>Aug20!O94</f>
        <v>1435033.81</v>
      </c>
      <c r="D94" s="301">
        <f>Aug20!P94</f>
        <v>0</v>
      </c>
      <c r="E94" s="25">
        <v>36000</v>
      </c>
      <c r="F94" s="26"/>
      <c r="G94" s="27"/>
      <c r="H94" s="28"/>
      <c r="I94" s="25"/>
      <c r="J94" s="26"/>
      <c r="K94" s="27"/>
      <c r="L94" s="28"/>
      <c r="M94" s="27"/>
      <c r="N94" s="26"/>
      <c r="O94" s="299">
        <f t="shared" si="2"/>
        <v>1471033.81</v>
      </c>
      <c r="P94" s="62"/>
      <c r="Q94" s="290"/>
    </row>
    <row r="95" spans="1:17" s="29" customFormat="1" ht="12.75">
      <c r="A95" s="23" t="s">
        <v>719</v>
      </c>
      <c r="B95" s="250" t="s">
        <v>720</v>
      </c>
      <c r="C95" s="513">
        <f>Aug20!O95</f>
        <v>1047856.5</v>
      </c>
      <c r="D95" s="301">
        <f>Aug20!P95</f>
        <v>0</v>
      </c>
      <c r="E95" s="25"/>
      <c r="F95" s="26"/>
      <c r="G95" s="27"/>
      <c r="H95" s="28"/>
      <c r="I95" s="25"/>
      <c r="J95" s="26"/>
      <c r="K95" s="27"/>
      <c r="L95" s="28"/>
      <c r="M95" s="27"/>
      <c r="N95" s="26"/>
      <c r="O95" s="299">
        <f t="shared" si="2"/>
        <v>1047856.5</v>
      </c>
      <c r="P95" s="62"/>
      <c r="Q95" s="290"/>
    </row>
    <row r="96" spans="1:17" s="29" customFormat="1" ht="12.75">
      <c r="A96" s="23" t="s">
        <v>28</v>
      </c>
      <c r="B96" s="250" t="s">
        <v>158</v>
      </c>
      <c r="C96" s="513">
        <f>Aug20!O96</f>
        <v>569500.6</v>
      </c>
      <c r="D96" s="301">
        <f>Aug20!P96</f>
        <v>0</v>
      </c>
      <c r="E96" s="25">
        <v>17456.28</v>
      </c>
      <c r="F96" s="26"/>
      <c r="G96" s="27"/>
      <c r="H96" s="28"/>
      <c r="I96" s="25"/>
      <c r="J96" s="26"/>
      <c r="K96" s="27"/>
      <c r="L96" s="28"/>
      <c r="M96" s="27"/>
      <c r="N96" s="26"/>
      <c r="O96" s="299">
        <f t="shared" si="2"/>
        <v>586956.88</v>
      </c>
      <c r="P96" s="62"/>
      <c r="Q96" s="290"/>
    </row>
    <row r="97" spans="1:17" s="29" customFormat="1" ht="12.75">
      <c r="A97" s="23" t="s">
        <v>243</v>
      </c>
      <c r="B97" s="250" t="s">
        <v>236</v>
      </c>
      <c r="C97" s="513">
        <f>Aug20!O97</f>
        <v>0</v>
      </c>
      <c r="D97" s="301">
        <f>Aug20!P97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299">
        <f t="shared" si="2"/>
        <v>0</v>
      </c>
      <c r="P97" s="62"/>
      <c r="Q97" s="290"/>
    </row>
    <row r="98" spans="1:17" s="29" customFormat="1" ht="12.75">
      <c r="A98" s="23" t="s">
        <v>27</v>
      </c>
      <c r="B98" s="250" t="s">
        <v>159</v>
      </c>
      <c r="C98" s="513">
        <f>Aug20!O98</f>
        <v>3238616.25</v>
      </c>
      <c r="D98" s="301">
        <f>Aug20!P98</f>
        <v>0</v>
      </c>
      <c r="E98" s="25">
        <v>114695</v>
      </c>
      <c r="F98" s="26"/>
      <c r="G98" s="27"/>
      <c r="H98" s="28"/>
      <c r="I98" s="25"/>
      <c r="J98" s="26"/>
      <c r="K98" s="27"/>
      <c r="L98" s="28"/>
      <c r="M98" s="27"/>
      <c r="N98" s="26"/>
      <c r="O98" s="299">
        <f t="shared" si="2"/>
        <v>3353311.25</v>
      </c>
      <c r="P98" s="62"/>
      <c r="Q98" s="290"/>
    </row>
    <row r="99" spans="1:17" s="29" customFormat="1" ht="12.75">
      <c r="A99" s="23" t="s">
        <v>160</v>
      </c>
      <c r="B99" s="250" t="s">
        <v>161</v>
      </c>
      <c r="C99" s="513">
        <f>Aug20!O99</f>
        <v>0</v>
      </c>
      <c r="D99" s="301">
        <f>Aug20!P99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299">
        <f t="shared" si="2"/>
        <v>0</v>
      </c>
      <c r="P99" s="62"/>
      <c r="Q99" s="290"/>
    </row>
    <row r="100" spans="1:17" s="29" customFormat="1" ht="12.75">
      <c r="A100" s="23" t="s">
        <v>216</v>
      </c>
      <c r="B100" s="250" t="s">
        <v>162</v>
      </c>
      <c r="C100" s="513">
        <f>Aug20!O100</f>
        <v>9687.25</v>
      </c>
      <c r="D100" s="301">
        <f>Aug20!P100</f>
        <v>0</v>
      </c>
      <c r="E100" s="25">
        <v>1589.25</v>
      </c>
      <c r="F100" s="26"/>
      <c r="G100" s="27"/>
      <c r="H100" s="28"/>
      <c r="I100" s="25"/>
      <c r="J100" s="26"/>
      <c r="K100" s="27"/>
      <c r="L100" s="28"/>
      <c r="M100" s="27"/>
      <c r="N100" s="26"/>
      <c r="O100" s="299">
        <f t="shared" si="2"/>
        <v>11276.5</v>
      </c>
      <c r="P100" s="62"/>
      <c r="Q100" s="290"/>
    </row>
    <row r="101" spans="1:17" s="29" customFormat="1" ht="12.75">
      <c r="A101" s="23" t="s">
        <v>56</v>
      </c>
      <c r="B101" s="250" t="s">
        <v>163</v>
      </c>
      <c r="C101" s="513">
        <f>Aug20!O101</f>
        <v>0</v>
      </c>
      <c r="D101" s="301">
        <f>Aug20!P101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299">
        <f t="shared" si="2"/>
        <v>0</v>
      </c>
      <c r="P101" s="62"/>
      <c r="Q101" s="290"/>
    </row>
    <row r="102" spans="1:17" s="29" customFormat="1" ht="12.75">
      <c r="A102" s="23" t="s">
        <v>217</v>
      </c>
      <c r="B102" s="250" t="s">
        <v>218</v>
      </c>
      <c r="C102" s="513">
        <f>Aug20!O102</f>
        <v>0</v>
      </c>
      <c r="D102" s="301">
        <f>Aug20!P102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299">
        <f t="shared" si="2"/>
        <v>0</v>
      </c>
      <c r="P102" s="62"/>
      <c r="Q102" s="290"/>
    </row>
    <row r="103" spans="1:17" s="29" customFormat="1" ht="12.75">
      <c r="A103" s="23" t="s">
        <v>164</v>
      </c>
      <c r="B103" s="250" t="s">
        <v>165</v>
      </c>
      <c r="C103" s="513">
        <f>Aug20!O103</f>
        <v>71897.74</v>
      </c>
      <c r="D103" s="301">
        <f>Aug20!P103</f>
        <v>0</v>
      </c>
      <c r="E103" s="25">
        <v>4000</v>
      </c>
      <c r="F103" s="26"/>
      <c r="G103" s="27"/>
      <c r="H103" s="28"/>
      <c r="I103" s="25"/>
      <c r="J103" s="26"/>
      <c r="K103" s="27"/>
      <c r="L103" s="28"/>
      <c r="M103" s="27"/>
      <c r="N103" s="26"/>
      <c r="O103" s="299">
        <f t="shared" si="2"/>
        <v>75897.74</v>
      </c>
      <c r="P103" s="62"/>
      <c r="Q103" s="290"/>
    </row>
    <row r="104" spans="1:17" s="29" customFormat="1" ht="12.75">
      <c r="A104" s="23" t="s">
        <v>570</v>
      </c>
      <c r="B104" s="250" t="s">
        <v>556</v>
      </c>
      <c r="C104" s="513">
        <f>Aug20!O104</f>
        <v>0</v>
      </c>
      <c r="D104" s="301">
        <f>Aug20!P104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299">
        <f t="shared" si="2"/>
        <v>0</v>
      </c>
      <c r="P104" s="62"/>
      <c r="Q104" s="290"/>
    </row>
    <row r="105" spans="1:17" s="29" customFormat="1" ht="12.75">
      <c r="A105" s="23" t="s">
        <v>535</v>
      </c>
      <c r="B105" s="250" t="s">
        <v>521</v>
      </c>
      <c r="C105" s="513">
        <f>Aug20!O105</f>
        <v>0</v>
      </c>
      <c r="D105" s="301">
        <f>Aug20!P105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299">
        <f t="shared" si="2"/>
        <v>0</v>
      </c>
      <c r="P105" s="62"/>
      <c r="Q105" s="290"/>
    </row>
    <row r="106" spans="1:17" s="29" customFormat="1" ht="12.75">
      <c r="A106" s="23" t="s">
        <v>536</v>
      </c>
      <c r="B106" s="250" t="s">
        <v>522</v>
      </c>
      <c r="C106" s="513">
        <f>Aug20!O106</f>
        <v>0</v>
      </c>
      <c r="D106" s="301">
        <f>Aug20!P106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299">
        <f t="shared" si="2"/>
        <v>0</v>
      </c>
      <c r="P106" s="62"/>
      <c r="Q106" s="290"/>
    </row>
    <row r="107" spans="1:17" s="29" customFormat="1" ht="12.75" hidden="1">
      <c r="A107" s="23" t="s">
        <v>571</v>
      </c>
      <c r="B107" s="250" t="s">
        <v>572</v>
      </c>
      <c r="C107" s="513">
        <f>Aug20!O107</f>
        <v>0</v>
      </c>
      <c r="D107" s="301">
        <f>Aug20!P107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299">
        <f t="shared" si="2"/>
        <v>0</v>
      </c>
      <c r="P107" s="62"/>
      <c r="Q107" s="290"/>
    </row>
    <row r="108" spans="1:17" s="29" customFormat="1" ht="12.75" hidden="1">
      <c r="A108" s="23" t="s">
        <v>573</v>
      </c>
      <c r="B108" s="250" t="s">
        <v>557</v>
      </c>
      <c r="C108" s="513">
        <f>Aug20!O108</f>
        <v>0</v>
      </c>
      <c r="D108" s="301">
        <f>Aug20!P108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299">
        <f t="shared" si="2"/>
        <v>0</v>
      </c>
      <c r="P108" s="62"/>
      <c r="Q108" s="290"/>
    </row>
    <row r="109" spans="1:17" s="29" customFormat="1" ht="12.75" hidden="1">
      <c r="A109" s="23" t="s">
        <v>241</v>
      </c>
      <c r="B109" s="250" t="s">
        <v>235</v>
      </c>
      <c r="C109" s="513">
        <f>Aug20!O109</f>
        <v>0</v>
      </c>
      <c r="D109" s="301">
        <f>Aug20!P109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299">
        <f t="shared" si="2"/>
        <v>0</v>
      </c>
      <c r="P109" s="62"/>
      <c r="Q109" s="290"/>
    </row>
    <row r="110" spans="1:17" s="29" customFormat="1" ht="12.75">
      <c r="A110" s="23" t="s">
        <v>166</v>
      </c>
      <c r="B110" s="250" t="s">
        <v>167</v>
      </c>
      <c r="C110" s="513">
        <f>Aug20!O110</f>
        <v>2328.25</v>
      </c>
      <c r="D110" s="301">
        <f>Aug20!P110</f>
        <v>0</v>
      </c>
      <c r="E110" s="25"/>
      <c r="F110" s="26"/>
      <c r="G110" s="27"/>
      <c r="H110" s="28"/>
      <c r="I110" s="25"/>
      <c r="J110" s="26"/>
      <c r="K110" s="27"/>
      <c r="L110" s="28"/>
      <c r="M110" s="27"/>
      <c r="N110" s="26"/>
      <c r="O110" s="299">
        <f t="shared" si="2"/>
        <v>2328.25</v>
      </c>
      <c r="P110" s="62"/>
      <c r="Q110" s="290"/>
    </row>
    <row r="111" spans="1:17" s="29" customFormat="1" ht="12.75">
      <c r="A111" s="23" t="s">
        <v>37</v>
      </c>
      <c r="B111" s="250" t="s">
        <v>168</v>
      </c>
      <c r="C111" s="513">
        <f>Aug20!O111</f>
        <v>21499.6</v>
      </c>
      <c r="D111" s="301">
        <f>Aug20!P111</f>
        <v>0</v>
      </c>
      <c r="E111" s="25">
        <v>2183.8</v>
      </c>
      <c r="F111" s="26"/>
      <c r="G111" s="27"/>
      <c r="H111" s="28"/>
      <c r="I111" s="25"/>
      <c r="J111" s="26"/>
      <c r="K111" s="27"/>
      <c r="L111" s="28"/>
      <c r="M111" s="27"/>
      <c r="N111" s="26"/>
      <c r="O111" s="299">
        <f t="shared" si="2"/>
        <v>23683.399999999998</v>
      </c>
      <c r="P111" s="62"/>
      <c r="Q111" s="290"/>
    </row>
    <row r="112" spans="1:17" s="29" customFormat="1" ht="12.75">
      <c r="A112" s="23" t="s">
        <v>43</v>
      </c>
      <c r="B112" s="250" t="s">
        <v>169</v>
      </c>
      <c r="C112" s="513">
        <f>Aug20!O112</f>
        <v>122509.95</v>
      </c>
      <c r="D112" s="301">
        <f>Aug20!P112</f>
        <v>0</v>
      </c>
      <c r="E112" s="25">
        <v>19891.14</v>
      </c>
      <c r="F112" s="26"/>
      <c r="G112" s="27"/>
      <c r="H112" s="28"/>
      <c r="I112" s="25"/>
      <c r="J112" s="26"/>
      <c r="K112" s="27"/>
      <c r="L112" s="28"/>
      <c r="M112" s="27"/>
      <c r="N112" s="26"/>
      <c r="O112" s="299">
        <f t="shared" si="2"/>
        <v>142401.09</v>
      </c>
      <c r="P112" s="62"/>
      <c r="Q112" s="290"/>
    </row>
    <row r="113" spans="1:17" s="29" customFormat="1" ht="12.75">
      <c r="A113" s="23" t="s">
        <v>694</v>
      </c>
      <c r="B113" s="250" t="s">
        <v>695</v>
      </c>
      <c r="C113" s="513">
        <f>Aug20!O113</f>
        <v>0</v>
      </c>
      <c r="D113" s="301">
        <f>Aug20!P113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299">
        <f t="shared" si="2"/>
        <v>0</v>
      </c>
      <c r="P113" s="62"/>
      <c r="Q113" s="290"/>
    </row>
    <row r="114" spans="1:17" s="29" customFormat="1" ht="12.75">
      <c r="A114" s="23" t="s">
        <v>29</v>
      </c>
      <c r="B114" s="250" t="s">
        <v>170</v>
      </c>
      <c r="C114" s="513">
        <f>Aug20!O114</f>
        <v>36211.3</v>
      </c>
      <c r="D114" s="301">
        <f>Aug20!P114</f>
        <v>0</v>
      </c>
      <c r="E114" s="25">
        <v>13135.5</v>
      </c>
      <c r="F114" s="26"/>
      <c r="G114" s="27"/>
      <c r="H114" s="28"/>
      <c r="I114" s="25"/>
      <c r="J114" s="26"/>
      <c r="K114" s="27"/>
      <c r="L114" s="28"/>
      <c r="M114" s="27"/>
      <c r="N114" s="26"/>
      <c r="O114" s="299">
        <f t="shared" si="2"/>
        <v>49346.8</v>
      </c>
      <c r="P114" s="62"/>
      <c r="Q114" s="290"/>
    </row>
    <row r="115" spans="1:17" s="29" customFormat="1" ht="12.75">
      <c r="A115" s="23" t="s">
        <v>194</v>
      </c>
      <c r="B115" s="250" t="s">
        <v>196</v>
      </c>
      <c r="C115" s="513">
        <f>Aug20!O115</f>
        <v>62453.850000000006</v>
      </c>
      <c r="D115" s="301">
        <f>Aug20!P115</f>
        <v>0</v>
      </c>
      <c r="E115" s="25">
        <v>8450.39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299">
        <f t="shared" si="2"/>
        <v>70904.24</v>
      </c>
      <c r="P115" s="62"/>
      <c r="Q115" s="290"/>
    </row>
    <row r="116" spans="1:17" s="29" customFormat="1" ht="12.75">
      <c r="A116" s="23" t="s">
        <v>195</v>
      </c>
      <c r="B116" s="250" t="s">
        <v>197</v>
      </c>
      <c r="C116" s="513">
        <f>Aug20!O116</f>
        <v>15451.15</v>
      </c>
      <c r="D116" s="301">
        <f>Aug20!P116</f>
        <v>0</v>
      </c>
      <c r="E116" s="25">
        <v>500</v>
      </c>
      <c r="F116" s="26"/>
      <c r="G116" s="27"/>
      <c r="H116" s="28"/>
      <c r="I116" s="25"/>
      <c r="J116" s="26"/>
      <c r="K116" s="27"/>
      <c r="L116" s="28"/>
      <c r="M116" s="27"/>
      <c r="N116" s="26"/>
      <c r="O116" s="299">
        <f t="shared" si="2"/>
        <v>15951.15</v>
      </c>
      <c r="P116" s="62"/>
      <c r="Q116" s="290"/>
    </row>
    <row r="117" spans="1:17" s="29" customFormat="1" ht="12.75">
      <c r="A117" s="23" t="s">
        <v>171</v>
      </c>
      <c r="B117" s="250" t="s">
        <v>172</v>
      </c>
      <c r="C117" s="513">
        <f>Aug20!O117</f>
        <v>55341.880000000005</v>
      </c>
      <c r="D117" s="301">
        <f>Aug20!P117</f>
        <v>0</v>
      </c>
      <c r="E117" s="25">
        <v>7861.49</v>
      </c>
      <c r="F117" s="26"/>
      <c r="G117" s="27"/>
      <c r="H117" s="28"/>
      <c r="I117" s="25"/>
      <c r="J117" s="26"/>
      <c r="K117" s="27"/>
      <c r="L117" s="28"/>
      <c r="M117" s="27"/>
      <c r="N117" s="26"/>
      <c r="O117" s="299">
        <f t="shared" si="2"/>
        <v>63203.37</v>
      </c>
      <c r="P117" s="62"/>
      <c r="Q117" s="290"/>
    </row>
    <row r="118" spans="1:17" s="29" customFormat="1" ht="12.75">
      <c r="A118" s="23" t="s">
        <v>51</v>
      </c>
      <c r="B118" s="250" t="s">
        <v>173</v>
      </c>
      <c r="C118" s="513">
        <f>Aug20!O118</f>
        <v>300</v>
      </c>
      <c r="D118" s="301">
        <f>Aug20!P118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299">
        <f t="shared" si="2"/>
        <v>300</v>
      </c>
      <c r="P118" s="62"/>
      <c r="Q118" s="290"/>
    </row>
    <row r="119" spans="1:17" s="29" customFormat="1" ht="12.75">
      <c r="A119" s="23" t="s">
        <v>539</v>
      </c>
      <c r="B119" s="250" t="s">
        <v>538</v>
      </c>
      <c r="C119" s="513">
        <f>Aug20!O119</f>
        <v>0</v>
      </c>
      <c r="D119" s="301">
        <f>Aug20!P119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299">
        <f t="shared" si="2"/>
        <v>0</v>
      </c>
      <c r="P119" s="62"/>
      <c r="Q119" s="290"/>
    </row>
    <row r="120" spans="1:17" s="29" customFormat="1" ht="12.75">
      <c r="A120" s="23" t="s">
        <v>193</v>
      </c>
      <c r="B120" s="250" t="s">
        <v>190</v>
      </c>
      <c r="C120" s="513">
        <f>Aug20!O120</f>
        <v>73333.36</v>
      </c>
      <c r="D120" s="301">
        <f>Aug20!P120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299">
        <f t="shared" si="2"/>
        <v>82500.03</v>
      </c>
      <c r="P120" s="62"/>
      <c r="Q120" s="290"/>
    </row>
    <row r="121" spans="1:17" s="29" customFormat="1" ht="12.75">
      <c r="A121" s="23" t="s">
        <v>71</v>
      </c>
      <c r="B121" s="250" t="s">
        <v>178</v>
      </c>
      <c r="C121" s="513">
        <f>Aug20!O121</f>
        <v>400</v>
      </c>
      <c r="D121" s="301">
        <f>Aug20!P121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299">
        <f t="shared" si="2"/>
        <v>400</v>
      </c>
      <c r="P121" s="62"/>
      <c r="Q121" s="290"/>
    </row>
    <row r="122" spans="1:17" s="29" customFormat="1" ht="12.75">
      <c r="A122" s="23" t="s">
        <v>30</v>
      </c>
      <c r="B122" s="250" t="s">
        <v>179</v>
      </c>
      <c r="C122" s="513">
        <f>Aug20!O122</f>
        <v>0</v>
      </c>
      <c r="D122" s="301">
        <f>Aug20!P122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299">
        <f t="shared" si="2"/>
        <v>0</v>
      </c>
      <c r="P122" s="62"/>
      <c r="Q122" s="290"/>
    </row>
    <row r="123" spans="1:17" s="29" customFormat="1" ht="12.75">
      <c r="A123" s="23" t="s">
        <v>198</v>
      </c>
      <c r="B123" s="250" t="s">
        <v>199</v>
      </c>
      <c r="C123" s="513">
        <f>Aug20!O123</f>
        <v>0</v>
      </c>
      <c r="D123" s="301">
        <f>Aug20!P123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299">
        <f t="shared" si="2"/>
        <v>0</v>
      </c>
      <c r="P123" s="62"/>
      <c r="Q123" s="290"/>
    </row>
    <row r="124" spans="1:17" s="29" customFormat="1" ht="12.75">
      <c r="A124" s="23" t="s">
        <v>72</v>
      </c>
      <c r="B124" s="250" t="s">
        <v>182</v>
      </c>
      <c r="C124" s="513">
        <f>Aug20!O124</f>
        <v>462226.36999999994</v>
      </c>
      <c r="D124" s="301">
        <f>Aug20!P124</f>
        <v>0</v>
      </c>
      <c r="E124" s="25">
        <v>50126.86</v>
      </c>
      <c r="F124" s="26"/>
      <c r="G124" s="27"/>
      <c r="H124" s="28"/>
      <c r="I124" s="25"/>
      <c r="J124" s="26"/>
      <c r="K124" s="27"/>
      <c r="L124" s="28"/>
      <c r="M124" s="27"/>
      <c r="N124" s="26"/>
      <c r="O124" s="299">
        <f t="shared" si="2"/>
        <v>512353.2299999999</v>
      </c>
      <c r="P124" s="62"/>
      <c r="Q124" s="290"/>
    </row>
    <row r="125" spans="1:17" s="29" customFormat="1" ht="12.75" hidden="1">
      <c r="A125" s="23" t="s">
        <v>65</v>
      </c>
      <c r="B125" s="250" t="s">
        <v>183</v>
      </c>
      <c r="C125" s="513">
        <f>Aug20!O125</f>
        <v>0</v>
      </c>
      <c r="D125" s="301">
        <f>Aug20!P125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299">
        <f t="shared" si="2"/>
        <v>0</v>
      </c>
      <c r="P125" s="62"/>
      <c r="Q125" s="290"/>
    </row>
    <row r="126" spans="1:17" s="29" customFormat="1" ht="12.75" hidden="1">
      <c r="A126" s="23" t="s">
        <v>180</v>
      </c>
      <c r="B126" s="250" t="s">
        <v>181</v>
      </c>
      <c r="C126" s="513">
        <f>Aug20!O126</f>
        <v>0</v>
      </c>
      <c r="D126" s="301">
        <f>Aug20!P126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299">
        <f t="shared" si="2"/>
        <v>0</v>
      </c>
      <c r="P126" s="62"/>
      <c r="Q126" s="290"/>
    </row>
    <row r="127" spans="1:17" s="29" customFormat="1" ht="12.75" hidden="1">
      <c r="A127" s="23" t="s">
        <v>184</v>
      </c>
      <c r="B127" s="250" t="s">
        <v>185</v>
      </c>
      <c r="C127" s="513">
        <f>Aug20!O127</f>
        <v>97413.83</v>
      </c>
      <c r="D127" s="301">
        <f>Aug20!P127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6"/>
      <c r="O127" s="299">
        <f t="shared" si="2"/>
        <v>97413.83</v>
      </c>
      <c r="P127" s="62"/>
      <c r="Q127" s="290"/>
    </row>
    <row r="128" spans="1:17" s="29" customFormat="1" ht="12.75" hidden="1">
      <c r="A128" s="23" t="s">
        <v>186</v>
      </c>
      <c r="B128" s="250" t="s">
        <v>204</v>
      </c>
      <c r="C128" s="513">
        <f>Aug20!O128</f>
        <v>0</v>
      </c>
      <c r="D128" s="301">
        <f>Aug20!P128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299">
        <f t="shared" si="2"/>
        <v>0</v>
      </c>
      <c r="P128" s="62"/>
      <c r="Q128" s="290"/>
    </row>
    <row r="129" spans="1:17" s="29" customFormat="1" ht="12.75">
      <c r="A129" s="23" t="s">
        <v>219</v>
      </c>
      <c r="B129" s="250" t="s">
        <v>205</v>
      </c>
      <c r="C129" s="513">
        <f>Aug20!O129</f>
        <v>77611.25</v>
      </c>
      <c r="D129" s="301">
        <f>Aug20!P129</f>
        <v>0</v>
      </c>
      <c r="E129" s="25">
        <v>1830</v>
      </c>
      <c r="F129" s="26"/>
      <c r="G129" s="27"/>
      <c r="H129" s="28"/>
      <c r="I129" s="25"/>
      <c r="J129" s="26"/>
      <c r="K129" s="27"/>
      <c r="L129" s="28"/>
      <c r="M129" s="27"/>
      <c r="N129" s="26"/>
      <c r="O129" s="299">
        <f t="shared" si="2"/>
        <v>79441.25</v>
      </c>
      <c r="P129" s="62"/>
      <c r="Q129" s="290"/>
    </row>
    <row r="130" spans="1:17" s="29" customFormat="1" ht="12.75">
      <c r="A130" s="23" t="s">
        <v>220</v>
      </c>
      <c r="B130" s="250" t="s">
        <v>206</v>
      </c>
      <c r="C130" s="513">
        <f>Aug20!O130</f>
        <v>113190</v>
      </c>
      <c r="D130" s="301">
        <f>Aug20!P130</f>
        <v>0</v>
      </c>
      <c r="E130" s="25">
        <v>49200</v>
      </c>
      <c r="F130" s="26"/>
      <c r="G130" s="27"/>
      <c r="H130" s="28"/>
      <c r="I130" s="25"/>
      <c r="J130" s="26"/>
      <c r="K130" s="27"/>
      <c r="L130" s="28"/>
      <c r="M130" s="27"/>
      <c r="N130" s="26"/>
      <c r="O130" s="299">
        <f t="shared" si="2"/>
        <v>162390</v>
      </c>
      <c r="P130" s="62"/>
      <c r="Q130" s="290"/>
    </row>
    <row r="131" spans="1:17" s="29" customFormat="1" ht="12.75">
      <c r="A131" s="23" t="s">
        <v>584</v>
      </c>
      <c r="B131" s="250" t="s">
        <v>585</v>
      </c>
      <c r="C131" s="513">
        <f>Aug20!O131</f>
        <v>0</v>
      </c>
      <c r="D131" s="301">
        <f>Aug20!P131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299">
        <f t="shared" si="2"/>
        <v>0</v>
      </c>
      <c r="P131" s="62"/>
      <c r="Q131" s="290"/>
    </row>
    <row r="132" spans="1:17" s="29" customFormat="1" ht="12.75">
      <c r="A132" s="23" t="s">
        <v>188</v>
      </c>
      <c r="B132" s="250" t="s">
        <v>189</v>
      </c>
      <c r="C132" s="513">
        <f>Aug20!O132</f>
        <v>0</v>
      </c>
      <c r="D132" s="301">
        <f>Aug20!P132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299">
        <f t="shared" si="2"/>
        <v>0</v>
      </c>
      <c r="P132" s="62"/>
      <c r="Q132" s="290"/>
    </row>
    <row r="133" spans="1:17" s="29" customFormat="1" ht="12.75">
      <c r="A133" s="23" t="s">
        <v>229</v>
      </c>
      <c r="B133" s="250" t="s">
        <v>227</v>
      </c>
      <c r="C133" s="513">
        <f>Aug20!O133</f>
        <v>57549</v>
      </c>
      <c r="D133" s="301">
        <f>Aug20!P133</f>
        <v>0</v>
      </c>
      <c r="E133" s="25">
        <v>620</v>
      </c>
      <c r="F133" s="26"/>
      <c r="G133" s="27"/>
      <c r="H133" s="28"/>
      <c r="I133" s="25"/>
      <c r="J133" s="26"/>
      <c r="K133" s="27"/>
      <c r="L133" s="28"/>
      <c r="M133" s="27"/>
      <c r="N133" s="26"/>
      <c r="O133" s="299">
        <f t="shared" si="2"/>
        <v>58169</v>
      </c>
      <c r="P133" s="62"/>
      <c r="Q133" s="290"/>
    </row>
    <row r="134" spans="1:17" s="29" customFormat="1" ht="12.75">
      <c r="A134" s="23" t="s">
        <v>64</v>
      </c>
      <c r="B134" s="250" t="s">
        <v>187</v>
      </c>
      <c r="C134" s="513">
        <f>Aug20!O134</f>
        <v>0</v>
      </c>
      <c r="D134" s="301">
        <f>Aug20!P134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299">
        <f t="shared" si="2"/>
        <v>0</v>
      </c>
      <c r="P134" s="62"/>
      <c r="Q134" s="290"/>
    </row>
    <row r="135" spans="1:17" s="29" customFormat="1" ht="12.75">
      <c r="A135" s="23" t="s">
        <v>587</v>
      </c>
      <c r="B135" s="250" t="s">
        <v>586</v>
      </c>
      <c r="C135" s="513">
        <f>Aug20!O135</f>
        <v>0</v>
      </c>
      <c r="D135" s="301">
        <f>Aug20!P135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299">
        <f t="shared" si="2"/>
        <v>0</v>
      </c>
      <c r="P135" s="62"/>
      <c r="Q135" s="290"/>
    </row>
    <row r="136" spans="1:17" s="29" customFormat="1" ht="12.75">
      <c r="A136" s="23" t="s">
        <v>233</v>
      </c>
      <c r="B136" s="250" t="s">
        <v>232</v>
      </c>
      <c r="C136" s="513">
        <f>Aug20!O136</f>
        <v>72964827.52</v>
      </c>
      <c r="D136" s="301">
        <f>Aug20!P136</f>
        <v>0</v>
      </c>
      <c r="E136" s="25">
        <v>74890130.22</v>
      </c>
      <c r="F136" s="26"/>
      <c r="G136" s="27"/>
      <c r="H136" s="28"/>
      <c r="I136" s="25"/>
      <c r="J136" s="26"/>
      <c r="K136" s="27"/>
      <c r="L136" s="28"/>
      <c r="M136" s="27">
        <v>138500</v>
      </c>
      <c r="N136" s="26"/>
      <c r="O136" s="299">
        <f t="shared" si="2"/>
        <v>147993457.74</v>
      </c>
      <c r="P136" s="62"/>
      <c r="Q136" s="290"/>
    </row>
    <row r="137" spans="1:17" s="29" customFormat="1" ht="12.75">
      <c r="A137" s="23" t="s">
        <v>69</v>
      </c>
      <c r="B137" s="250" t="s">
        <v>191</v>
      </c>
      <c r="C137" s="513">
        <f>Aug20!O137</f>
        <v>0</v>
      </c>
      <c r="D137" s="301">
        <f>Aug20!P137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299">
        <f t="shared" si="2"/>
        <v>0</v>
      </c>
      <c r="P137" s="62"/>
      <c r="Q137" s="290"/>
    </row>
    <row r="138" spans="1:17" s="29" customFormat="1" ht="12.75">
      <c r="A138" s="23" t="s">
        <v>211</v>
      </c>
      <c r="B138" s="250" t="s">
        <v>212</v>
      </c>
      <c r="C138" s="513">
        <f>Aug20!O138</f>
        <v>0</v>
      </c>
      <c r="D138" s="301">
        <f>Aug20!P138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299">
        <f t="shared" si="2"/>
        <v>0</v>
      </c>
      <c r="P138" s="62"/>
      <c r="Q138" s="290"/>
    </row>
    <row r="139" spans="1:17" s="29" customFormat="1" ht="12.75">
      <c r="A139" s="23" t="s">
        <v>540</v>
      </c>
      <c r="B139" s="250" t="s">
        <v>523</v>
      </c>
      <c r="C139" s="513">
        <f>Aug20!O139</f>
        <v>0</v>
      </c>
      <c r="D139" s="301">
        <f>Aug20!P139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299">
        <f t="shared" si="2"/>
        <v>0</v>
      </c>
      <c r="P139" s="62"/>
      <c r="Q139" s="290"/>
    </row>
    <row r="140" spans="1:17" s="29" customFormat="1" ht="12.75">
      <c r="A140" s="23" t="s">
        <v>73</v>
      </c>
      <c r="B140" s="250" t="s">
        <v>192</v>
      </c>
      <c r="C140" s="513">
        <f>Aug20!O140</f>
        <v>175276.90000000002</v>
      </c>
      <c r="D140" s="301">
        <f>Aug20!P140</f>
        <v>0</v>
      </c>
      <c r="E140" s="25">
        <v>221256</v>
      </c>
      <c r="F140" s="26"/>
      <c r="G140" s="27"/>
      <c r="H140" s="28"/>
      <c r="I140" s="25"/>
      <c r="J140" s="26"/>
      <c r="K140" s="27"/>
      <c r="L140" s="28"/>
      <c r="M140" s="27"/>
      <c r="N140" s="26"/>
      <c r="O140" s="299">
        <f t="shared" si="2"/>
        <v>396532.9</v>
      </c>
      <c r="P140" s="62"/>
      <c r="Q140" s="290"/>
    </row>
    <row r="141" spans="1:17" s="29" customFormat="1" ht="12.75">
      <c r="A141" s="23" t="s">
        <v>38</v>
      </c>
      <c r="B141" s="250" t="s">
        <v>175</v>
      </c>
      <c r="C141" s="513">
        <f>Aug20!O141</f>
        <v>0</v>
      </c>
      <c r="D141" s="301">
        <f>Aug20!P141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299">
        <f t="shared" si="2"/>
        <v>0</v>
      </c>
      <c r="P141" s="115"/>
      <c r="Q141" s="290"/>
    </row>
    <row r="142" spans="1:17" s="29" customFormat="1" ht="12.75">
      <c r="A142" s="23" t="s">
        <v>62</v>
      </c>
      <c r="B142" s="250" t="s">
        <v>176</v>
      </c>
      <c r="C142" s="513">
        <f>Aug20!O142</f>
        <v>0</v>
      </c>
      <c r="D142" s="301">
        <f>Aug20!P142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299">
        <f t="shared" si="2"/>
        <v>0</v>
      </c>
      <c r="P142" s="62"/>
      <c r="Q142" s="290"/>
    </row>
    <row r="143" spans="1:17" s="29" customFormat="1" ht="12.75">
      <c r="A143" s="23" t="s">
        <v>63</v>
      </c>
      <c r="B143" s="250" t="s">
        <v>177</v>
      </c>
      <c r="C143" s="513">
        <f>Aug20!O143</f>
        <v>2230</v>
      </c>
      <c r="D143" s="301">
        <f>Aug20!P143</f>
        <v>0</v>
      </c>
      <c r="E143" s="25">
        <v>100</v>
      </c>
      <c r="F143" s="26"/>
      <c r="G143" s="27"/>
      <c r="H143" s="28"/>
      <c r="I143" s="25"/>
      <c r="J143" s="26"/>
      <c r="K143" s="326"/>
      <c r="L143" s="62"/>
      <c r="M143" s="326"/>
      <c r="N143" s="25"/>
      <c r="O143" s="299">
        <f t="shared" si="2"/>
        <v>2330</v>
      </c>
      <c r="P143" s="115"/>
      <c r="Q143" s="290"/>
    </row>
    <row r="144" spans="1:17" s="29" customFormat="1" ht="12.75">
      <c r="A144" s="23" t="s">
        <v>560</v>
      </c>
      <c r="B144" s="250" t="s">
        <v>561</v>
      </c>
      <c r="C144" s="513">
        <f>Aug20!O144</f>
        <v>0</v>
      </c>
      <c r="D144" s="301">
        <f>Aug20!P144</f>
        <v>0</v>
      </c>
      <c r="E144" s="326"/>
      <c r="F144" s="25"/>
      <c r="G144" s="326"/>
      <c r="H144" s="62"/>
      <c r="I144" s="326"/>
      <c r="J144" s="25"/>
      <c r="K144" s="326"/>
      <c r="L144" s="62"/>
      <c r="M144" s="326"/>
      <c r="N144" s="25"/>
      <c r="O144" s="299">
        <f t="shared" si="2"/>
        <v>0</v>
      </c>
      <c r="P144" s="115"/>
      <c r="Q144" s="491"/>
    </row>
    <row r="145" spans="1:17" s="29" customFormat="1" ht="12.75">
      <c r="A145" s="23" t="s">
        <v>53</v>
      </c>
      <c r="B145" s="250" t="s">
        <v>528</v>
      </c>
      <c r="C145" s="513">
        <f>Aug20!O145</f>
        <v>461176.47</v>
      </c>
      <c r="D145" s="301">
        <f>Aug20!P145</f>
        <v>0</v>
      </c>
      <c r="E145" s="326">
        <v>230588.22</v>
      </c>
      <c r="F145" s="25"/>
      <c r="G145" s="326"/>
      <c r="H145" s="62"/>
      <c r="I145" s="326"/>
      <c r="J145" s="25"/>
      <c r="K145" s="326"/>
      <c r="L145" s="62"/>
      <c r="M145" s="326"/>
      <c r="N145" s="25"/>
      <c r="O145" s="299">
        <f t="shared" si="2"/>
        <v>691764.69</v>
      </c>
      <c r="P145" s="115"/>
      <c r="Q145" s="491"/>
    </row>
    <row r="146" spans="1:17" s="29" customFormat="1" ht="12.75">
      <c r="A146" s="23" t="s">
        <v>701</v>
      </c>
      <c r="B146" s="250" t="s">
        <v>702</v>
      </c>
      <c r="C146" s="513">
        <f>Aug20!O146</f>
        <v>0</v>
      </c>
      <c r="D146" s="301">
        <f>Aug20!P146</f>
        <v>0</v>
      </c>
      <c r="E146" s="326"/>
      <c r="F146" s="25"/>
      <c r="G146" s="326"/>
      <c r="H146" s="62"/>
      <c r="I146" s="326"/>
      <c r="J146" s="25"/>
      <c r="K146" s="326"/>
      <c r="L146" s="62"/>
      <c r="M146" s="326"/>
      <c r="N146" s="25"/>
      <c r="O146" s="299">
        <f t="shared" si="2"/>
        <v>0</v>
      </c>
      <c r="P146" s="115"/>
      <c r="Q146" s="491"/>
    </row>
    <row r="147" spans="1:17" s="29" customFormat="1" ht="12.75">
      <c r="A147" s="23" t="s">
        <v>68</v>
      </c>
      <c r="B147" s="250" t="s">
        <v>174</v>
      </c>
      <c r="C147" s="513">
        <f>Aug20!O147</f>
        <v>0</v>
      </c>
      <c r="D147" s="301">
        <f>Aug20!P147</f>
        <v>0</v>
      </c>
      <c r="E147" s="326"/>
      <c r="F147" s="25"/>
      <c r="G147" s="326"/>
      <c r="H147" s="62"/>
      <c r="I147" s="326"/>
      <c r="J147" s="25"/>
      <c r="K147" s="326"/>
      <c r="L147" s="62"/>
      <c r="M147" s="326"/>
      <c r="N147" s="25"/>
      <c r="O147" s="299">
        <f t="shared" si="2"/>
        <v>0</v>
      </c>
      <c r="P147" s="115"/>
      <c r="Q147" s="491"/>
    </row>
    <row r="148" spans="1:17" s="29" customFormat="1" ht="12.75">
      <c r="A148" s="23" t="s">
        <v>730</v>
      </c>
      <c r="B148" s="250" t="s">
        <v>731</v>
      </c>
      <c r="C148" s="513">
        <f>Aug20!O148</f>
        <v>0</v>
      </c>
      <c r="D148" s="301">
        <f>Aug20!P148</f>
        <v>0</v>
      </c>
      <c r="E148" s="326"/>
      <c r="F148" s="25"/>
      <c r="G148" s="326"/>
      <c r="H148" s="62"/>
      <c r="I148" s="326"/>
      <c r="J148" s="25"/>
      <c r="K148" s="326"/>
      <c r="L148" s="62"/>
      <c r="M148" s="326"/>
      <c r="N148" s="25"/>
      <c r="O148" s="299">
        <f t="shared" si="2"/>
        <v>0</v>
      </c>
      <c r="P148" s="115"/>
      <c r="Q148" s="491"/>
    </row>
    <row r="149" spans="1:17" s="29" customFormat="1" ht="12.75">
      <c r="A149" s="23" t="s">
        <v>23</v>
      </c>
      <c r="B149" s="250" t="s">
        <v>524</v>
      </c>
      <c r="C149" s="513">
        <f>Aug20!O149</f>
        <v>735808.2300000001</v>
      </c>
      <c r="D149" s="301">
        <f>Aug20!P149</f>
        <v>0</v>
      </c>
      <c r="E149" s="326">
        <v>120900.9</v>
      </c>
      <c r="F149" s="25"/>
      <c r="G149" s="326"/>
      <c r="H149" s="62"/>
      <c r="I149" s="326"/>
      <c r="J149" s="25"/>
      <c r="K149" s="326"/>
      <c r="L149" s="62"/>
      <c r="M149" s="326"/>
      <c r="N149" s="25"/>
      <c r="O149" s="299">
        <f t="shared" si="2"/>
        <v>856709.1300000001</v>
      </c>
      <c r="P149" s="115"/>
      <c r="Q149" s="491"/>
    </row>
    <row r="150" spans="1:17" s="29" customFormat="1" ht="12.75">
      <c r="A150" s="23" t="s">
        <v>245</v>
      </c>
      <c r="B150" s="250" t="s">
        <v>525</v>
      </c>
      <c r="C150" s="513">
        <f>Aug20!O150</f>
        <v>0</v>
      </c>
      <c r="D150" s="301">
        <f>Aug20!P150</f>
        <v>0</v>
      </c>
      <c r="E150" s="326"/>
      <c r="F150" s="25"/>
      <c r="G150" s="326"/>
      <c r="H150" s="62"/>
      <c r="I150" s="326"/>
      <c r="J150" s="25"/>
      <c r="K150" s="326"/>
      <c r="L150" s="62"/>
      <c r="M150" s="326"/>
      <c r="N150" s="25"/>
      <c r="O150" s="299">
        <f>C150+E150+I150+M150-D150-F150-J150-N150+G150-H150+K150-L150</f>
        <v>0</v>
      </c>
      <c r="P150" s="115"/>
      <c r="Q150" s="491"/>
    </row>
    <row r="151" spans="1:17" s="29" customFormat="1" ht="12.75">
      <c r="A151" s="8" t="s">
        <v>214</v>
      </c>
      <c r="B151" s="250" t="s">
        <v>574</v>
      </c>
      <c r="C151" s="513">
        <f>Aug20!O151</f>
        <v>0</v>
      </c>
      <c r="D151" s="301">
        <f>Aug20!P151</f>
        <v>0</v>
      </c>
      <c r="E151" s="326"/>
      <c r="F151" s="25"/>
      <c r="G151" s="326"/>
      <c r="H151" s="62"/>
      <c r="I151" s="326"/>
      <c r="J151" s="25"/>
      <c r="K151" s="326"/>
      <c r="L151" s="62"/>
      <c r="M151" s="326"/>
      <c r="N151" s="25"/>
      <c r="O151" s="299">
        <f aca="true" t="shared" si="3" ref="O151:O157">C151+E151+I151+M151-D151-F151-J151-N151+G151-H151+K151-L151</f>
        <v>0</v>
      </c>
      <c r="P151" s="115"/>
      <c r="Q151" s="491"/>
    </row>
    <row r="152" spans="1:17" s="29" customFormat="1" ht="12.75">
      <c r="A152" s="8" t="s">
        <v>77</v>
      </c>
      <c r="B152" s="250" t="s">
        <v>575</v>
      </c>
      <c r="C152" s="513">
        <f>Aug20!O152</f>
        <v>0</v>
      </c>
      <c r="D152" s="301">
        <f>Aug20!P152</f>
        <v>0</v>
      </c>
      <c r="E152" s="326"/>
      <c r="F152" s="25"/>
      <c r="G152" s="326"/>
      <c r="H152" s="62"/>
      <c r="I152" s="326"/>
      <c r="J152" s="25"/>
      <c r="K152" s="326"/>
      <c r="L152" s="62"/>
      <c r="M152" s="326"/>
      <c r="N152" s="25"/>
      <c r="O152" s="299">
        <f t="shared" si="3"/>
        <v>0</v>
      </c>
      <c r="P152" s="115"/>
      <c r="Q152" s="491"/>
    </row>
    <row r="153" spans="1:17" s="29" customFormat="1" ht="12.75">
      <c r="A153" s="8" t="s">
        <v>78</v>
      </c>
      <c r="B153" s="250" t="s">
        <v>576</v>
      </c>
      <c r="C153" s="513">
        <f>Aug20!O153</f>
        <v>0</v>
      </c>
      <c r="D153" s="301">
        <f>Aug20!P153</f>
        <v>0</v>
      </c>
      <c r="E153" s="326"/>
      <c r="F153" s="25"/>
      <c r="G153" s="326"/>
      <c r="H153" s="62"/>
      <c r="I153" s="326"/>
      <c r="J153" s="25"/>
      <c r="K153" s="326"/>
      <c r="L153" s="62"/>
      <c r="M153" s="326"/>
      <c r="N153" s="25"/>
      <c r="O153" s="299">
        <f t="shared" si="3"/>
        <v>0</v>
      </c>
      <c r="P153" s="115"/>
      <c r="Q153" s="491"/>
    </row>
    <row r="154" spans="1:17" s="29" customFormat="1" ht="12.75">
      <c r="A154" s="8" t="s">
        <v>801</v>
      </c>
      <c r="B154" s="250" t="s">
        <v>802</v>
      </c>
      <c r="C154" s="513">
        <f>Aug20!O154</f>
        <v>322963.29000000004</v>
      </c>
      <c r="D154" s="301">
        <f>Aug20!P154</f>
        <v>0</v>
      </c>
      <c r="E154" s="326"/>
      <c r="F154" s="25"/>
      <c r="G154" s="326"/>
      <c r="H154" s="62"/>
      <c r="I154" s="326"/>
      <c r="J154" s="25"/>
      <c r="K154" s="326"/>
      <c r="L154" s="62"/>
      <c r="M154" s="326">
        <v>111404.98</v>
      </c>
      <c r="N154" s="25"/>
      <c r="O154" s="299">
        <f t="shared" si="3"/>
        <v>434368.27</v>
      </c>
      <c r="P154" s="115"/>
      <c r="Q154" s="491"/>
    </row>
    <row r="155" spans="1:17" s="29" customFormat="1" ht="12.75">
      <c r="A155" s="8" t="s">
        <v>578</v>
      </c>
      <c r="B155" s="250" t="s">
        <v>579</v>
      </c>
      <c r="C155" s="513">
        <f>Aug20!O155</f>
        <v>0</v>
      </c>
      <c r="D155" s="301">
        <f>Aug20!P155</f>
        <v>0</v>
      </c>
      <c r="E155" s="326"/>
      <c r="F155" s="25"/>
      <c r="G155" s="326"/>
      <c r="H155" s="62"/>
      <c r="I155" s="326"/>
      <c r="J155" s="25"/>
      <c r="K155" s="326"/>
      <c r="L155" s="62"/>
      <c r="M155" s="326"/>
      <c r="N155" s="25"/>
      <c r="O155" s="299">
        <f t="shared" si="3"/>
        <v>0</v>
      </c>
      <c r="P155" s="115"/>
      <c r="Q155" s="491"/>
    </row>
    <row r="156" spans="1:16" s="29" customFormat="1" ht="12.75">
      <c r="A156" s="8" t="s">
        <v>580</v>
      </c>
      <c r="B156" s="250" t="s">
        <v>581</v>
      </c>
      <c r="C156" s="513">
        <f>Aug20!O156</f>
        <v>0</v>
      </c>
      <c r="D156" s="301">
        <f>Aug20!P156</f>
        <v>0</v>
      </c>
      <c r="E156" s="326"/>
      <c r="F156" s="25"/>
      <c r="G156" s="61"/>
      <c r="H156" s="62"/>
      <c r="I156" s="326"/>
      <c r="J156" s="25"/>
      <c r="K156" s="61"/>
      <c r="L156" s="62"/>
      <c r="M156" s="326"/>
      <c r="N156" s="25"/>
      <c r="O156" s="299">
        <f t="shared" si="3"/>
        <v>0</v>
      </c>
      <c r="P156" s="62"/>
    </row>
    <row r="157" spans="1:16" s="29" customFormat="1" ht="13.5" thickBot="1">
      <c r="A157" s="8" t="s">
        <v>82</v>
      </c>
      <c r="B157" s="510" t="s">
        <v>582</v>
      </c>
      <c r="C157" s="513">
        <f>Aug20!O157</f>
        <v>0</v>
      </c>
      <c r="D157" s="495">
        <f>Aug20!P157</f>
        <v>0</v>
      </c>
      <c r="E157" s="63"/>
      <c r="F157" s="25"/>
      <c r="G157" s="61"/>
      <c r="H157" s="62"/>
      <c r="I157" s="63"/>
      <c r="J157" s="25"/>
      <c r="K157" s="61"/>
      <c r="L157" s="62"/>
      <c r="M157" s="61"/>
      <c r="N157" s="25"/>
      <c r="O157" s="493">
        <f t="shared" si="3"/>
        <v>0</v>
      </c>
      <c r="P157" s="62"/>
    </row>
    <row r="158" spans="1:16" s="29" customFormat="1" ht="13.5" thickBot="1">
      <c r="A158" s="123" t="s">
        <v>24</v>
      </c>
      <c r="B158" s="124"/>
      <c r="C158" s="313">
        <f>SUM(C14:C157)</f>
        <v>268040611.4699999</v>
      </c>
      <c r="D158" s="313">
        <f>SUM(D14:D157)</f>
        <v>268040611.47</v>
      </c>
      <c r="E158" s="313">
        <f aca="true" t="shared" si="4" ref="E158:P158">SUM(E14:E157)</f>
        <v>79018547.29</v>
      </c>
      <c r="F158" s="313">
        <f t="shared" si="4"/>
        <v>79018547.29000002</v>
      </c>
      <c r="G158" s="313">
        <f t="shared" si="4"/>
        <v>0</v>
      </c>
      <c r="H158" s="313">
        <f t="shared" si="4"/>
        <v>0</v>
      </c>
      <c r="I158" s="313">
        <f t="shared" si="4"/>
        <v>0</v>
      </c>
      <c r="J158" s="313">
        <f t="shared" si="4"/>
        <v>0</v>
      </c>
      <c r="K158" s="313">
        <f t="shared" si="4"/>
        <v>32383941.98</v>
      </c>
      <c r="L158" s="313">
        <f t="shared" si="4"/>
        <v>32383941.98</v>
      </c>
      <c r="M158" s="313">
        <f t="shared" si="4"/>
        <v>4561449.930000001</v>
      </c>
      <c r="N158" s="313">
        <f t="shared" si="4"/>
        <v>4561449.930000001</v>
      </c>
      <c r="O158" s="125">
        <f t="shared" si="4"/>
        <v>272137469.31</v>
      </c>
      <c r="P158" s="125">
        <f t="shared" si="4"/>
        <v>272137469.30999994</v>
      </c>
    </row>
    <row r="159" spans="1:16" s="29" customFormat="1" ht="12.75">
      <c r="A159" s="30"/>
      <c r="B159" s="30"/>
      <c r="C159" s="32"/>
      <c r="D159" s="32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0" spans="1:16" s="29" customFormat="1" ht="12.75">
      <c r="A160" s="30"/>
      <c r="B160" s="30"/>
      <c r="C160" s="32"/>
      <c r="D160" s="32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32"/>
      <c r="D161" s="3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32"/>
      <c r="D162" s="3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9"/>
      <c r="P162" s="30"/>
    </row>
    <row r="163" spans="1:16" s="29" customFormat="1" ht="12.75">
      <c r="A163" s="16"/>
      <c r="B163" s="1"/>
      <c r="C163" s="32"/>
      <c r="D163" s="3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0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712</v>
      </c>
      <c r="P164" s="30"/>
    </row>
    <row r="165" spans="1:16" s="288" customFormat="1" ht="12.75" customHeight="1">
      <c r="A165" s="16" t="s">
        <v>210</v>
      </c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567" t="s">
        <v>224</v>
      </c>
      <c r="P165" s="567"/>
    </row>
    <row r="168" spans="1:6" ht="12.75">
      <c r="A168" s="291"/>
      <c r="B168" s="231"/>
      <c r="C168" s="92"/>
      <c r="D168" s="92"/>
      <c r="E168" s="29"/>
      <c r="F168" s="29"/>
    </row>
    <row r="169" spans="1:6" ht="12.75">
      <c r="A169" s="291"/>
      <c r="B169" s="231"/>
      <c r="C169" s="92"/>
      <c r="D169" s="92"/>
      <c r="E169" s="29"/>
      <c r="F169" s="29"/>
    </row>
    <row r="170" spans="1:6" ht="12.75">
      <c r="A170" s="29"/>
      <c r="B170" s="290"/>
      <c r="C170" s="92"/>
      <c r="D170" s="92"/>
      <c r="E170" s="29"/>
      <c r="F170" s="29"/>
    </row>
    <row r="171" spans="1:6" ht="12.75">
      <c r="A171" s="29"/>
      <c r="B171" s="290"/>
      <c r="C171" s="92"/>
      <c r="D171" s="92"/>
      <c r="E171" s="25"/>
      <c r="F171" s="307"/>
    </row>
    <row r="172" spans="1:6" ht="12.75">
      <c r="A172" s="29"/>
      <c r="B172" s="290"/>
      <c r="C172" s="92"/>
      <c r="D172" s="92"/>
      <c r="E172" s="25"/>
      <c r="F172" s="307"/>
    </row>
    <row r="173" spans="1:6" ht="12.75">
      <c r="A173" s="29"/>
      <c r="B173" s="290"/>
      <c r="C173" s="92"/>
      <c r="D173" s="92"/>
      <c r="E173" s="25"/>
      <c r="F173" s="307"/>
    </row>
    <row r="174" spans="1:6" ht="12.75">
      <c r="A174" s="29"/>
      <c r="B174" s="290"/>
      <c r="C174" s="92"/>
      <c r="D174" s="92"/>
      <c r="E174" s="25"/>
      <c r="F174" s="25"/>
    </row>
    <row r="175" spans="1:6" ht="12.75">
      <c r="A175" s="308"/>
      <c r="B175" s="309"/>
      <c r="C175" s="92"/>
      <c r="D175" s="92"/>
      <c r="E175" s="25"/>
      <c r="F175" s="25"/>
    </row>
    <row r="176" spans="1:6" ht="12.75">
      <c r="A176" s="29"/>
      <c r="B176" s="290"/>
      <c r="C176" s="92"/>
      <c r="D176" s="92"/>
      <c r="E176" s="25"/>
      <c r="F176" s="25"/>
    </row>
    <row r="177" spans="1:6" ht="12.75">
      <c r="A177" s="29"/>
      <c r="B177" s="290"/>
      <c r="C177" s="92"/>
      <c r="D177" s="92"/>
      <c r="E177" s="25"/>
      <c r="F177" s="25"/>
    </row>
    <row r="178" spans="1:6" ht="12.75">
      <c r="A178" s="29"/>
      <c r="B178" s="290"/>
      <c r="C178" s="92"/>
      <c r="D178" s="92"/>
      <c r="E178" s="25"/>
      <c r="F178" s="25"/>
    </row>
    <row r="179" spans="1:6" ht="12.75">
      <c r="A179" s="29"/>
      <c r="B179" s="290"/>
      <c r="C179" s="92"/>
      <c r="D179" s="92"/>
      <c r="E179" s="25"/>
      <c r="F179" s="25"/>
    </row>
    <row r="180" spans="1:6" ht="12.75">
      <c r="A180" s="29"/>
      <c r="B180" s="290"/>
      <c r="C180" s="92"/>
      <c r="D180" s="92"/>
      <c r="E180" s="25"/>
      <c r="F180" s="25"/>
    </row>
    <row r="181" spans="1:6" ht="12.75">
      <c r="A181" s="29"/>
      <c r="B181" s="290"/>
      <c r="C181" s="92"/>
      <c r="D181" s="92"/>
      <c r="E181" s="25"/>
      <c r="F181" s="25"/>
    </row>
    <row r="182" spans="1:6" ht="12.75">
      <c r="A182" s="29"/>
      <c r="B182" s="290"/>
      <c r="C182" s="92"/>
      <c r="D182" s="92"/>
      <c r="E182" s="25"/>
      <c r="F182" s="25"/>
    </row>
    <row r="183" spans="1:6" ht="12.75">
      <c r="A183" s="29"/>
      <c r="B183" s="290"/>
      <c r="C183" s="92"/>
      <c r="D183" s="92"/>
      <c r="E183" s="25"/>
      <c r="F183" s="25"/>
    </row>
    <row r="184" spans="1:6" ht="12.75">
      <c r="A184" s="29"/>
      <c r="B184" s="290"/>
      <c r="C184" s="92"/>
      <c r="D184" s="92"/>
      <c r="E184" s="25"/>
      <c r="F184" s="25"/>
    </row>
    <row r="185" spans="1:6" ht="12.75">
      <c r="A185" s="29"/>
      <c r="B185" s="290"/>
      <c r="C185" s="92"/>
      <c r="D185" s="92"/>
      <c r="E185" s="25"/>
      <c r="F185" s="25"/>
    </row>
    <row r="186" spans="1:6" ht="12.75">
      <c r="A186" s="29"/>
      <c r="B186" s="290"/>
      <c r="C186" s="92"/>
      <c r="D186" s="92"/>
      <c r="E186" s="25"/>
      <c r="F186" s="25"/>
    </row>
    <row r="187" spans="1:6" ht="12.75">
      <c r="A187" s="29"/>
      <c r="B187" s="290"/>
      <c r="C187" s="92"/>
      <c r="D187" s="92"/>
      <c r="E187" s="25"/>
      <c r="F187" s="25"/>
    </row>
    <row r="188" spans="1:6" ht="12.75">
      <c r="A188" s="29"/>
      <c r="B188" s="290"/>
      <c r="C188" s="92"/>
      <c r="D188" s="92"/>
      <c r="E188" s="25"/>
      <c r="F188" s="25"/>
    </row>
    <row r="189" spans="1:6" ht="12.75">
      <c r="A189" s="29"/>
      <c r="B189" s="290"/>
      <c r="C189" s="92"/>
      <c r="D189" s="92"/>
      <c r="E189" s="25"/>
      <c r="F189" s="25"/>
    </row>
    <row r="190" spans="1:6" ht="12.75">
      <c r="A190" s="29"/>
      <c r="B190" s="290"/>
      <c r="C190" s="92"/>
      <c r="D190" s="92"/>
      <c r="E190" s="25"/>
      <c r="F190" s="25"/>
    </row>
    <row r="191" spans="1:6" ht="12.75">
      <c r="A191" s="29"/>
      <c r="B191" s="290"/>
      <c r="C191" s="92"/>
      <c r="D191" s="92"/>
      <c r="E191" s="25"/>
      <c r="F191" s="25"/>
    </row>
    <row r="192" spans="1:6" ht="12.75">
      <c r="A192" s="29"/>
      <c r="B192" s="290"/>
      <c r="C192" s="92"/>
      <c r="D192" s="92"/>
      <c r="E192" s="25"/>
      <c r="F192" s="25"/>
    </row>
    <row r="193" spans="1:6" ht="12.75">
      <c r="A193" s="29"/>
      <c r="B193" s="290"/>
      <c r="C193" s="92"/>
      <c r="D193" s="92"/>
      <c r="E193" s="25"/>
      <c r="F193" s="25"/>
    </row>
    <row r="194" spans="1:6" ht="12.75">
      <c r="A194" s="29"/>
      <c r="B194" s="290"/>
      <c r="C194" s="92"/>
      <c r="D194" s="92"/>
      <c r="E194" s="25"/>
      <c r="F194" s="25"/>
    </row>
    <row r="195" spans="1:6" ht="12.75">
      <c r="A195" s="310"/>
      <c r="B195" s="290"/>
      <c r="C195" s="92"/>
      <c r="D195" s="92"/>
      <c r="E195" s="25"/>
      <c r="F195" s="25"/>
    </row>
    <row r="196" spans="1:6" ht="12.75">
      <c r="A196" s="3"/>
      <c r="B196" s="231"/>
      <c r="C196" s="92"/>
      <c r="D196" s="92"/>
      <c r="E196" s="25"/>
      <c r="F196" s="25"/>
    </row>
    <row r="197" spans="1:6" ht="12.75">
      <c r="A197" s="291"/>
      <c r="B197" s="231"/>
      <c r="C197" s="92"/>
      <c r="D197" s="92"/>
      <c r="E197" s="25"/>
      <c r="F197" s="25"/>
    </row>
    <row r="198" spans="1:6" ht="12.75">
      <c r="A198" s="3"/>
      <c r="B198" s="231"/>
      <c r="C198" s="92"/>
      <c r="D198" s="92"/>
      <c r="E198" s="25"/>
      <c r="F198" s="25"/>
    </row>
    <row r="199" spans="1:6" ht="12.75">
      <c r="A199" s="29"/>
      <c r="B199" s="290"/>
      <c r="C199" s="92"/>
      <c r="D199" s="92"/>
      <c r="E199" s="25"/>
      <c r="F199" s="25"/>
    </row>
    <row r="200" spans="1:6" ht="12.75">
      <c r="A200" s="29"/>
      <c r="B200" s="290"/>
      <c r="C200" s="92"/>
      <c r="D200" s="92"/>
      <c r="E200" s="25"/>
      <c r="F200" s="25"/>
    </row>
    <row r="201" spans="1:6" ht="12.75">
      <c r="A201" s="308"/>
      <c r="B201" s="309"/>
      <c r="C201" s="92"/>
      <c r="D201" s="92"/>
      <c r="E201" s="25"/>
      <c r="F201" s="25"/>
    </row>
    <row r="202" spans="1:6" ht="12.75">
      <c r="A202" s="29"/>
      <c r="B202" s="290"/>
      <c r="C202" s="92"/>
      <c r="D202" s="92"/>
      <c r="E202" s="25"/>
      <c r="F202" s="25"/>
    </row>
    <row r="203" spans="1:6" ht="12.75">
      <c r="A203" s="29"/>
      <c r="B203" s="290"/>
      <c r="C203" s="92"/>
      <c r="D203" s="92"/>
      <c r="E203" s="25"/>
      <c r="F203" s="25"/>
    </row>
    <row r="204" spans="1:6" ht="12.75">
      <c r="A204" s="308"/>
      <c r="B204" s="309"/>
      <c r="C204" s="92"/>
      <c r="D204" s="92"/>
      <c r="E204" s="25"/>
      <c r="F204" s="25"/>
    </row>
    <row r="205" spans="1:6" ht="12.75">
      <c r="A205" s="290"/>
      <c r="B205" s="290"/>
      <c r="C205" s="92"/>
      <c r="D205" s="92"/>
      <c r="E205" s="25"/>
      <c r="F205" s="25"/>
    </row>
    <row r="206" spans="1:6" ht="12.75">
      <c r="A206" s="3"/>
      <c r="B206" s="231"/>
      <c r="C206" s="92"/>
      <c r="D206" s="92"/>
      <c r="E206" s="25"/>
      <c r="F206" s="25"/>
    </row>
    <row r="207" spans="1:6" ht="12.75">
      <c r="A207" s="291"/>
      <c r="B207" s="231"/>
      <c r="C207" s="92"/>
      <c r="D207" s="92"/>
      <c r="E207" s="25"/>
      <c r="F207" s="25"/>
    </row>
    <row r="208" spans="1:6" ht="12.75">
      <c r="A208" s="291"/>
      <c r="B208" s="231"/>
      <c r="C208" s="92"/>
      <c r="D208" s="92"/>
      <c r="E208" s="25"/>
      <c r="F208" s="25"/>
    </row>
    <row r="209" spans="1:6" ht="12.75">
      <c r="A209" s="29"/>
      <c r="B209" s="290"/>
      <c r="C209" s="92"/>
      <c r="D209" s="92"/>
      <c r="E209" s="25"/>
      <c r="F209" s="25"/>
    </row>
    <row r="210" spans="1:6" ht="12.75">
      <c r="A210" s="29"/>
      <c r="B210" s="231"/>
      <c r="C210" s="92"/>
      <c r="D210" s="92"/>
      <c r="E210" s="25"/>
      <c r="F210" s="25"/>
    </row>
    <row r="211" spans="1:6" ht="12.75">
      <c r="A211" s="29"/>
      <c r="B211" s="231"/>
      <c r="C211" s="92"/>
      <c r="D211" s="92"/>
      <c r="E211" s="25"/>
      <c r="F211" s="25"/>
    </row>
    <row r="212" spans="1:6" ht="12.75">
      <c r="A212" s="291"/>
      <c r="B212" s="231"/>
      <c r="C212" s="92"/>
      <c r="D212" s="92"/>
      <c r="E212" s="25"/>
      <c r="F212" s="25"/>
    </row>
    <row r="213" spans="1:6" ht="12.75">
      <c r="A213" s="3"/>
      <c r="B213" s="231"/>
      <c r="C213" s="92"/>
      <c r="D213" s="92"/>
      <c r="E213" s="25"/>
      <c r="F213" s="25"/>
    </row>
    <row r="214" spans="1:6" ht="12.75">
      <c r="A214" s="290"/>
      <c r="B214" s="290"/>
      <c r="C214" s="92"/>
      <c r="D214" s="92"/>
      <c r="E214" s="25"/>
      <c r="F214" s="25"/>
    </row>
    <row r="215" spans="1:6" ht="12.75">
      <c r="A215" s="29"/>
      <c r="B215" s="290"/>
      <c r="C215" s="92"/>
      <c r="D215" s="92"/>
      <c r="E215" s="25"/>
      <c r="F215" s="25"/>
    </row>
    <row r="216" spans="1:6" ht="12.75">
      <c r="A216" s="29"/>
      <c r="B216" s="290"/>
      <c r="C216" s="92"/>
      <c r="D216" s="92"/>
      <c r="E216" s="25"/>
      <c r="F216" s="25"/>
    </row>
    <row r="217" spans="1:6" ht="12.75">
      <c r="A217" s="29"/>
      <c r="B217" s="290"/>
      <c r="C217" s="92"/>
      <c r="D217" s="92"/>
      <c r="E217" s="25"/>
      <c r="F217" s="25"/>
    </row>
    <row r="218" spans="1:6" ht="12.75">
      <c r="A218" s="290"/>
      <c r="B218" s="290"/>
      <c r="C218" s="92"/>
      <c r="D218" s="92"/>
      <c r="E218" s="25"/>
      <c r="F218" s="25"/>
    </row>
    <row r="219" spans="1:6" ht="12.75">
      <c r="A219" s="29"/>
      <c r="B219" s="290"/>
      <c r="C219" s="92"/>
      <c r="D219" s="92"/>
      <c r="E219" s="25"/>
      <c r="F219" s="25"/>
    </row>
    <row r="220" spans="1:6" ht="12.75">
      <c r="A220" s="29"/>
      <c r="B220" s="290"/>
      <c r="C220" s="92"/>
      <c r="D220" s="92"/>
      <c r="E220" s="25"/>
      <c r="F220" s="25"/>
    </row>
    <row r="221" spans="1:6" ht="12.75">
      <c r="A221" s="29"/>
      <c r="B221" s="290"/>
      <c r="C221" s="92"/>
      <c r="D221" s="92"/>
      <c r="E221" s="25"/>
      <c r="F221" s="25"/>
    </row>
    <row r="222" spans="1:6" ht="12.75">
      <c r="A222" s="29"/>
      <c r="B222" s="290"/>
      <c r="C222" s="92"/>
      <c r="D222" s="92"/>
      <c r="E222" s="25"/>
      <c r="F222" s="25"/>
    </row>
    <row r="223" spans="1:6" ht="12.75">
      <c r="A223" s="29"/>
      <c r="B223" s="290"/>
      <c r="C223" s="92"/>
      <c r="D223" s="92"/>
      <c r="E223" s="25"/>
      <c r="F223" s="25"/>
    </row>
    <row r="224" spans="1:6" ht="12.75">
      <c r="A224" s="29"/>
      <c r="B224" s="290"/>
      <c r="C224" s="92"/>
      <c r="D224" s="92"/>
      <c r="E224" s="25"/>
      <c r="F224" s="25"/>
    </row>
    <row r="225" spans="1:6" ht="12.75">
      <c r="A225" s="29"/>
      <c r="B225" s="290"/>
      <c r="C225" s="92"/>
      <c r="D225" s="92"/>
      <c r="E225" s="25"/>
      <c r="F225" s="25"/>
    </row>
    <row r="226" spans="1:6" ht="12.75">
      <c r="A226" s="29"/>
      <c r="B226" s="290"/>
      <c r="C226" s="92"/>
      <c r="D226" s="92"/>
      <c r="E226" s="25"/>
      <c r="F226" s="25"/>
    </row>
    <row r="227" spans="1:6" ht="12.75">
      <c r="A227" s="29"/>
      <c r="B227" s="290"/>
      <c r="C227" s="92"/>
      <c r="D227" s="92"/>
      <c r="E227" s="25"/>
      <c r="F227" s="25"/>
    </row>
    <row r="228" spans="1:6" ht="12.75">
      <c r="A228" s="29"/>
      <c r="B228" s="290"/>
      <c r="C228" s="92"/>
      <c r="D228" s="92"/>
      <c r="E228" s="25"/>
      <c r="F228" s="25"/>
    </row>
    <row r="229" spans="1:6" ht="12.75">
      <c r="A229" s="29"/>
      <c r="B229" s="290"/>
      <c r="C229" s="92"/>
      <c r="D229" s="92"/>
      <c r="E229" s="25"/>
      <c r="F229" s="25"/>
    </row>
    <row r="230" spans="1:6" ht="12.75">
      <c r="A230" s="29"/>
      <c r="B230" s="290"/>
      <c r="C230" s="92"/>
      <c r="D230" s="92"/>
      <c r="E230" s="25"/>
      <c r="F230" s="25"/>
    </row>
    <row r="231" spans="1:6" ht="12.75">
      <c r="A231" s="29"/>
      <c r="B231" s="290"/>
      <c r="C231" s="92"/>
      <c r="D231" s="92"/>
      <c r="E231" s="25"/>
      <c r="F231" s="25"/>
    </row>
    <row r="232" spans="1:6" ht="12.75">
      <c r="A232" s="29"/>
      <c r="B232" s="290"/>
      <c r="C232" s="92"/>
      <c r="D232" s="92"/>
      <c r="E232" s="25"/>
      <c r="F232" s="25"/>
    </row>
    <row r="233" spans="1:6" ht="12.75">
      <c r="A233" s="29"/>
      <c r="B233" s="290"/>
      <c r="C233" s="92"/>
      <c r="D233" s="92"/>
      <c r="E233" s="25"/>
      <c r="F233" s="25"/>
    </row>
    <row r="234" spans="1:6" ht="12.75">
      <c r="A234" s="29"/>
      <c r="B234" s="290"/>
      <c r="C234" s="92"/>
      <c r="D234" s="92"/>
      <c r="E234" s="25"/>
      <c r="F234" s="25"/>
    </row>
    <row r="235" spans="1:6" ht="12.75">
      <c r="A235" s="29"/>
      <c r="B235" s="290"/>
      <c r="C235" s="92"/>
      <c r="D235" s="92"/>
      <c r="E235" s="25"/>
      <c r="F235" s="25"/>
    </row>
    <row r="236" spans="1:6" ht="12.75">
      <c r="A236" s="29"/>
      <c r="B236" s="290"/>
      <c r="C236" s="92"/>
      <c r="D236" s="92"/>
      <c r="E236" s="25"/>
      <c r="F236" s="25"/>
    </row>
    <row r="237" spans="1:6" ht="12.75">
      <c r="A237" s="29"/>
      <c r="B237" s="290"/>
      <c r="C237" s="92"/>
      <c r="D237" s="92"/>
      <c r="E237" s="25"/>
      <c r="F237" s="25"/>
    </row>
    <row r="238" spans="1:6" ht="12.75">
      <c r="A238" s="29"/>
      <c r="B238" s="290"/>
      <c r="C238" s="92"/>
      <c r="D238" s="92"/>
      <c r="E238" s="25"/>
      <c r="F238" s="25"/>
    </row>
    <row r="239" spans="1:6" ht="12.75">
      <c r="A239" s="29"/>
      <c r="B239" s="292"/>
      <c r="C239" s="92"/>
      <c r="D239" s="92"/>
      <c r="E239" s="25"/>
      <c r="F239" s="25"/>
    </row>
    <row r="240" spans="1:6" ht="12.75">
      <c r="A240" s="29"/>
      <c r="B240" s="290"/>
      <c r="C240" s="92"/>
      <c r="D240" s="92"/>
      <c r="E240" s="25"/>
      <c r="F240" s="25"/>
    </row>
    <row r="241" spans="1:6" ht="12.75">
      <c r="A241" s="29"/>
      <c r="B241" s="290"/>
      <c r="C241" s="92"/>
      <c r="D241" s="92"/>
      <c r="E241" s="25"/>
      <c r="F241" s="25"/>
    </row>
    <row r="242" spans="1:6" ht="12.75">
      <c r="A242" s="29"/>
      <c r="B242" s="290"/>
      <c r="C242" s="92"/>
      <c r="D242" s="92"/>
      <c r="E242" s="25"/>
      <c r="F242" s="25"/>
    </row>
    <row r="243" spans="1:6" ht="12.75">
      <c r="A243" s="29"/>
      <c r="B243" s="290"/>
      <c r="C243" s="92"/>
      <c r="D243" s="92"/>
      <c r="E243" s="25"/>
      <c r="F243" s="25"/>
    </row>
    <row r="244" spans="1:6" ht="12.75">
      <c r="A244" s="29"/>
      <c r="B244" s="290"/>
      <c r="C244" s="92"/>
      <c r="D244" s="92"/>
      <c r="E244" s="25"/>
      <c r="F244" s="25"/>
    </row>
    <row r="245" spans="1:6" ht="12.75">
      <c r="A245" s="29"/>
      <c r="B245" s="290"/>
      <c r="C245" s="92"/>
      <c r="D245" s="92"/>
      <c r="E245" s="25"/>
      <c r="F245" s="25"/>
    </row>
    <row r="246" spans="1:6" ht="12.75">
      <c r="A246" s="29"/>
      <c r="B246" s="290"/>
      <c r="C246" s="92"/>
      <c r="D246" s="92"/>
      <c r="E246" s="25"/>
      <c r="F246" s="25"/>
    </row>
    <row r="247" spans="1:6" ht="12.75">
      <c r="A247" s="29"/>
      <c r="B247" s="290"/>
      <c r="C247" s="92"/>
      <c r="D247" s="92"/>
      <c r="E247" s="25"/>
      <c r="F247" s="25"/>
    </row>
    <row r="248" spans="1:6" ht="12.75">
      <c r="A248" s="29"/>
      <c r="B248" s="290"/>
      <c r="C248" s="92"/>
      <c r="D248" s="92"/>
      <c r="E248" s="25"/>
      <c r="F248" s="25"/>
    </row>
    <row r="249" spans="1:6" ht="12.75">
      <c r="A249" s="29"/>
      <c r="B249" s="290"/>
      <c r="C249" s="92"/>
      <c r="D249" s="92"/>
      <c r="E249" s="25"/>
      <c r="F249" s="25"/>
    </row>
    <row r="250" spans="1:6" ht="12.75">
      <c r="A250" s="29"/>
      <c r="B250" s="290"/>
      <c r="C250" s="92"/>
      <c r="D250" s="92"/>
      <c r="E250" s="25"/>
      <c r="F250" s="25"/>
    </row>
    <row r="251" spans="1:6" ht="12.75">
      <c r="A251" s="29"/>
      <c r="B251" s="290"/>
      <c r="C251" s="92"/>
      <c r="D251" s="92"/>
      <c r="E251" s="25"/>
      <c r="F251" s="25"/>
    </row>
    <row r="252" spans="1:6" ht="12.75">
      <c r="A252" s="29"/>
      <c r="B252" s="290"/>
      <c r="C252" s="92"/>
      <c r="D252" s="92"/>
      <c r="E252" s="25"/>
      <c r="F252" s="25"/>
    </row>
    <row r="253" spans="1:6" ht="12.75">
      <c r="A253" s="29"/>
      <c r="B253" s="290"/>
      <c r="C253" s="92"/>
      <c r="D253" s="92"/>
      <c r="E253" s="25"/>
      <c r="F253" s="25"/>
    </row>
    <row r="254" spans="1:6" ht="12.75">
      <c r="A254" s="29"/>
      <c r="B254" s="290"/>
      <c r="C254" s="92"/>
      <c r="D254" s="92"/>
      <c r="E254" s="25"/>
      <c r="F254" s="25"/>
    </row>
    <row r="255" spans="1:6" ht="12.75">
      <c r="A255" s="29"/>
      <c r="B255" s="290"/>
      <c r="C255" s="92"/>
      <c r="D255" s="92"/>
      <c r="E255" s="25"/>
      <c r="F255" s="25"/>
    </row>
    <row r="256" spans="1:6" ht="12.75">
      <c r="A256" s="29"/>
      <c r="B256" s="290"/>
      <c r="C256" s="92"/>
      <c r="D256" s="92"/>
      <c r="E256" s="25"/>
      <c r="F256" s="25"/>
    </row>
    <row r="257" spans="1:6" ht="12.75">
      <c r="A257" s="29"/>
      <c r="B257" s="290"/>
      <c r="C257" s="92"/>
      <c r="D257" s="92"/>
      <c r="E257" s="25"/>
      <c r="F257" s="25"/>
    </row>
    <row r="258" spans="1:6" ht="12.75">
      <c r="A258" s="29"/>
      <c r="B258" s="290"/>
      <c r="C258" s="92"/>
      <c r="D258" s="92"/>
      <c r="E258" s="25"/>
      <c r="F258" s="25"/>
    </row>
    <row r="259" spans="1:6" ht="12.75">
      <c r="A259" s="29"/>
      <c r="B259" s="290"/>
      <c r="C259" s="92"/>
      <c r="D259" s="92"/>
      <c r="E259" s="25"/>
      <c r="F259" s="25"/>
    </row>
    <row r="260" spans="1:6" ht="12.75">
      <c r="A260" s="29"/>
      <c r="B260" s="290"/>
      <c r="C260" s="92"/>
      <c r="D260" s="92"/>
      <c r="E260" s="25"/>
      <c r="F260" s="25"/>
    </row>
    <row r="261" spans="1:6" ht="12.75">
      <c r="A261" s="29"/>
      <c r="B261" s="290"/>
      <c r="C261" s="92"/>
      <c r="D261" s="92"/>
      <c r="E261" s="25"/>
      <c r="F261" s="25"/>
    </row>
    <row r="262" spans="1:6" ht="12.75">
      <c r="A262" s="29"/>
      <c r="B262" s="290"/>
      <c r="C262" s="92"/>
      <c r="D262" s="92"/>
      <c r="E262" s="25"/>
      <c r="F262" s="25"/>
    </row>
    <row r="263" spans="1:6" ht="12.75">
      <c r="A263" s="29"/>
      <c r="B263" s="290"/>
      <c r="C263" s="92"/>
      <c r="D263" s="92"/>
      <c r="E263" s="25"/>
      <c r="F263" s="25"/>
    </row>
    <row r="264" spans="1:6" ht="12.75">
      <c r="A264" s="29"/>
      <c r="B264" s="290"/>
      <c r="C264" s="92"/>
      <c r="D264" s="92"/>
      <c r="E264" s="25"/>
      <c r="F264" s="25"/>
    </row>
    <row r="265" spans="1:6" ht="12.75">
      <c r="A265" s="29"/>
      <c r="B265" s="290"/>
      <c r="C265" s="92"/>
      <c r="D265" s="92"/>
      <c r="E265" s="25"/>
      <c r="F265" s="25"/>
    </row>
    <row r="266" spans="1:6" ht="12.75">
      <c r="A266" s="29"/>
      <c r="B266" s="290"/>
      <c r="C266" s="92"/>
      <c r="D266" s="92"/>
      <c r="E266" s="25"/>
      <c r="F266" s="25"/>
    </row>
    <row r="267" spans="1:6" ht="12.75">
      <c r="A267" s="29"/>
      <c r="B267" s="290"/>
      <c r="C267" s="92"/>
      <c r="D267" s="92"/>
      <c r="E267" s="25"/>
      <c r="F267" s="25"/>
    </row>
    <row r="268" spans="1:6" ht="12.75">
      <c r="A268" s="29"/>
      <c r="B268" s="290"/>
      <c r="C268" s="92"/>
      <c r="D268" s="92"/>
      <c r="E268" s="25"/>
      <c r="F268" s="25"/>
    </row>
    <row r="269" spans="1:6" ht="12.75">
      <c r="A269" s="29"/>
      <c r="B269" s="290"/>
      <c r="C269" s="92"/>
      <c r="D269" s="92"/>
      <c r="E269" s="25"/>
      <c r="F269" s="25"/>
    </row>
    <row r="270" spans="1:6" ht="12.75">
      <c r="A270" s="29"/>
      <c r="B270" s="290"/>
      <c r="C270" s="92"/>
      <c r="D270" s="92"/>
      <c r="E270" s="25"/>
      <c r="F270" s="25"/>
    </row>
    <row r="271" spans="1:6" ht="12.75">
      <c r="A271" s="29"/>
      <c r="B271" s="290"/>
      <c r="C271" s="92"/>
      <c r="D271" s="92"/>
      <c r="E271" s="25"/>
      <c r="F271" s="25"/>
    </row>
    <row r="272" spans="1:6" ht="12.75">
      <c r="A272" s="29"/>
      <c r="B272" s="290"/>
      <c r="C272" s="92"/>
      <c r="D272" s="92"/>
      <c r="E272" s="25"/>
      <c r="F272" s="25"/>
    </row>
    <row r="273" spans="1:6" ht="12.75">
      <c r="A273" s="29"/>
      <c r="B273" s="290"/>
      <c r="C273" s="92"/>
      <c r="D273" s="92"/>
      <c r="E273" s="25"/>
      <c r="F273" s="25"/>
    </row>
    <row r="274" spans="1:6" ht="12.75">
      <c r="A274" s="29"/>
      <c r="B274" s="290"/>
      <c r="C274" s="92"/>
      <c r="D274" s="92"/>
      <c r="E274" s="25"/>
      <c r="F274" s="25"/>
    </row>
    <row r="275" spans="1:6" ht="12.75">
      <c r="A275" s="29"/>
      <c r="B275" s="290"/>
      <c r="C275" s="92"/>
      <c r="D275" s="92"/>
      <c r="E275" s="25"/>
      <c r="F275" s="25"/>
    </row>
    <row r="276" spans="1:6" ht="12.75">
      <c r="A276" s="29"/>
      <c r="B276" s="290"/>
      <c r="C276" s="92"/>
      <c r="D276" s="92"/>
      <c r="E276" s="25"/>
      <c r="F276" s="25"/>
    </row>
    <row r="277" spans="1:6" ht="12.75">
      <c r="A277" s="29"/>
      <c r="B277" s="290"/>
      <c r="C277" s="92"/>
      <c r="D277" s="92"/>
      <c r="E277" s="25"/>
      <c r="F277" s="25"/>
    </row>
    <row r="278" spans="1:6" ht="12.75">
      <c r="A278" s="29"/>
      <c r="B278" s="290"/>
      <c r="C278" s="92"/>
      <c r="D278" s="92"/>
      <c r="E278" s="25"/>
      <c r="F278" s="25"/>
    </row>
    <row r="279" spans="1:6" ht="12.75">
      <c r="A279" s="29"/>
      <c r="B279" s="290"/>
      <c r="C279" s="92"/>
      <c r="D279" s="92"/>
      <c r="E279" s="25"/>
      <c r="F279" s="25"/>
    </row>
    <row r="280" spans="1:6" ht="12.75">
      <c r="A280" s="29"/>
      <c r="B280" s="290"/>
      <c r="C280" s="92"/>
      <c r="D280" s="92"/>
      <c r="E280" s="25"/>
      <c r="F280" s="25"/>
    </row>
    <row r="281" spans="1:6" ht="12.75">
      <c r="A281" s="29"/>
      <c r="B281" s="292"/>
      <c r="C281" s="92"/>
      <c r="D281" s="92"/>
      <c r="E281" s="25"/>
      <c r="F281" s="25"/>
    </row>
    <row r="282" spans="1:6" ht="12.75">
      <c r="A282" s="29"/>
      <c r="B282" s="290"/>
      <c r="C282" s="92"/>
      <c r="D282" s="92"/>
      <c r="E282" s="25"/>
      <c r="F282" s="25"/>
    </row>
    <row r="283" spans="1:6" ht="12.75">
      <c r="A283" s="29"/>
      <c r="B283" s="290"/>
      <c r="C283" s="92"/>
      <c r="D283" s="92"/>
      <c r="E283" s="25"/>
      <c r="F283" s="25"/>
    </row>
    <row r="284" spans="1:6" ht="12.75">
      <c r="A284" s="29"/>
      <c r="B284" s="290"/>
      <c r="C284" s="92"/>
      <c r="D284" s="92"/>
      <c r="E284" s="25"/>
      <c r="F284" s="25"/>
    </row>
    <row r="285" spans="1:6" ht="12.75">
      <c r="A285" s="29"/>
      <c r="B285" s="290"/>
      <c r="C285" s="92"/>
      <c r="D285" s="92"/>
      <c r="E285" s="25"/>
      <c r="F285" s="25"/>
    </row>
    <row r="286" spans="1:6" ht="12.75">
      <c r="A286" s="29"/>
      <c r="B286" s="290"/>
      <c r="C286" s="92"/>
      <c r="D286" s="92"/>
      <c r="E286" s="25"/>
      <c r="F286" s="25"/>
    </row>
    <row r="287" spans="1:6" ht="12.75">
      <c r="A287" s="29"/>
      <c r="B287" s="290"/>
      <c r="C287" s="92"/>
      <c r="D287" s="92"/>
      <c r="E287" s="25"/>
      <c r="F287" s="25"/>
    </row>
    <row r="288" spans="1:6" ht="12.75">
      <c r="A288" s="29"/>
      <c r="B288" s="290"/>
      <c r="C288" s="92"/>
      <c r="D288" s="92"/>
      <c r="E288" s="25"/>
      <c r="F288" s="25"/>
    </row>
    <row r="289" spans="1:6" ht="12.75">
      <c r="A289" s="29"/>
      <c r="B289" s="290"/>
      <c r="C289" s="92"/>
      <c r="D289" s="92"/>
      <c r="E289" s="25"/>
      <c r="F289" s="25"/>
    </row>
    <row r="290" spans="1:6" ht="12.75">
      <c r="A290" s="29"/>
      <c r="B290" s="290"/>
      <c r="C290" s="92"/>
      <c r="D290" s="92"/>
      <c r="E290" s="25"/>
      <c r="F290" s="25"/>
    </row>
    <row r="291" spans="1:6" ht="12.75">
      <c r="A291" s="29"/>
      <c r="B291" s="290"/>
      <c r="C291" s="92"/>
      <c r="D291" s="92"/>
      <c r="E291" s="25"/>
      <c r="F291" s="25"/>
    </row>
    <row r="292" spans="1:6" ht="12.75">
      <c r="A292" s="29"/>
      <c r="B292" s="290"/>
      <c r="C292" s="92"/>
      <c r="D292" s="92"/>
      <c r="E292" s="25"/>
      <c r="F292" s="25"/>
    </row>
    <row r="293" spans="1:6" ht="12.75">
      <c r="A293" s="29"/>
      <c r="B293" s="290"/>
      <c r="C293" s="92"/>
      <c r="D293" s="92"/>
      <c r="E293" s="25"/>
      <c r="F293" s="25"/>
    </row>
    <row r="294" spans="1:6" ht="12.75">
      <c r="A294" s="29"/>
      <c r="B294" s="290"/>
      <c r="C294" s="92"/>
      <c r="D294" s="92"/>
      <c r="E294" s="25"/>
      <c r="F294" s="25"/>
    </row>
    <row r="295" spans="1:6" ht="12.75">
      <c r="A295" s="29"/>
      <c r="B295" s="290"/>
      <c r="C295" s="92"/>
      <c r="D295" s="92"/>
      <c r="E295" s="25"/>
      <c r="F295" s="25"/>
    </row>
  </sheetData>
  <sheetProtection/>
  <mergeCells count="17">
    <mergeCell ref="A10:A11"/>
    <mergeCell ref="E10:F10"/>
    <mergeCell ref="G10:H10"/>
    <mergeCell ref="I10:J10"/>
    <mergeCell ref="K10:L10"/>
    <mergeCell ref="M10:N10"/>
    <mergeCell ref="C10:D10"/>
    <mergeCell ref="O165:P165"/>
    <mergeCell ref="P10:P11"/>
    <mergeCell ref="A2:P2"/>
    <mergeCell ref="A3:P3"/>
    <mergeCell ref="A5:P5"/>
    <mergeCell ref="A6:P6"/>
    <mergeCell ref="A7:P7"/>
    <mergeCell ref="A8:P8"/>
    <mergeCell ref="A9:P9"/>
    <mergeCell ref="O10:O11"/>
  </mergeCells>
  <printOptions/>
  <pageMargins left="0.73" right="0.13" top="0.64" bottom="0.3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R286"/>
  <sheetViews>
    <sheetView zoomScalePageLayoutView="0" workbookViewId="0" topLeftCell="A1">
      <selection activeCell="O46" sqref="O46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5.00390625" style="32" hidden="1" customWidth="1"/>
    <col min="5" max="6" width="13.57421875" style="30" hidden="1" customWidth="1"/>
    <col min="7" max="7" width="10.00390625" style="30" hidden="1" customWidth="1"/>
    <col min="8" max="8" width="13.140625" style="30" hidden="1" customWidth="1"/>
    <col min="9" max="12" width="10.421875" style="30" hidden="1" customWidth="1"/>
    <col min="13" max="14" width="13.57421875" style="30" hidden="1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6:16" ht="12.75">
      <c r="F1" s="33"/>
      <c r="H1" s="33"/>
      <c r="J1" s="33"/>
      <c r="L1" s="33"/>
      <c r="N1" s="33"/>
      <c r="P1" s="33" t="s">
        <v>0</v>
      </c>
    </row>
    <row r="2" spans="1:16" ht="12.75">
      <c r="A2" s="536" t="s">
        <v>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2.75">
      <c r="A5" s="536" t="s">
        <v>44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</row>
    <row r="6" spans="1:16" ht="12.75">
      <c r="A6" s="536" t="s">
        <v>626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2.75">
      <c r="A10" s="572" t="s">
        <v>5</v>
      </c>
      <c r="B10" s="295" t="s">
        <v>4</v>
      </c>
      <c r="C10" s="577" t="s">
        <v>627</v>
      </c>
      <c r="D10" s="578"/>
      <c r="E10" s="574" t="s">
        <v>49</v>
      </c>
      <c r="F10" s="575"/>
      <c r="G10" s="574" t="s">
        <v>54</v>
      </c>
      <c r="H10" s="575"/>
      <c r="I10" s="574" t="s">
        <v>48</v>
      </c>
      <c r="J10" s="575"/>
      <c r="K10" s="574" t="s">
        <v>57</v>
      </c>
      <c r="L10" s="575"/>
      <c r="M10" s="574" t="s">
        <v>50</v>
      </c>
      <c r="N10" s="579"/>
      <c r="O10" s="580" t="s">
        <v>7</v>
      </c>
      <c r="P10" s="568" t="s">
        <v>8</v>
      </c>
    </row>
    <row r="11" spans="1:16" ht="13.5" thickBot="1">
      <c r="A11" s="573"/>
      <c r="B11" s="65" t="s">
        <v>6</v>
      </c>
      <c r="C11" s="316" t="s">
        <v>7</v>
      </c>
      <c r="D11" s="317" t="s">
        <v>8</v>
      </c>
      <c r="E11" s="298" t="s">
        <v>7</v>
      </c>
      <c r="F11" s="65" t="s">
        <v>8</v>
      </c>
      <c r="G11" s="296" t="s">
        <v>7</v>
      </c>
      <c r="H11" s="297" t="s">
        <v>8</v>
      </c>
      <c r="I11" s="298" t="s">
        <v>7</v>
      </c>
      <c r="J11" s="297" t="s">
        <v>8</v>
      </c>
      <c r="K11" s="296" t="s">
        <v>7</v>
      </c>
      <c r="L11" s="297" t="s">
        <v>8</v>
      </c>
      <c r="M11" s="296" t="s">
        <v>7</v>
      </c>
      <c r="N11" s="65" t="s">
        <v>8</v>
      </c>
      <c r="O11" s="581"/>
      <c r="P11" s="569"/>
    </row>
    <row r="12" spans="1:16" ht="13.5" customHeight="1">
      <c r="A12" s="43"/>
      <c r="B12" s="24"/>
      <c r="C12" s="311"/>
      <c r="D12" s="312"/>
      <c r="E12" s="293"/>
      <c r="F12" s="24"/>
      <c r="G12" s="43"/>
      <c r="H12" s="72"/>
      <c r="I12" s="293"/>
      <c r="J12" s="24"/>
      <c r="K12" s="43"/>
      <c r="L12" s="72"/>
      <c r="M12" s="43"/>
      <c r="N12" s="24"/>
      <c r="O12" s="250"/>
      <c r="P12" s="73"/>
    </row>
    <row r="13" spans="1:16" ht="12.75" customHeight="1">
      <c r="A13" s="4" t="s">
        <v>9</v>
      </c>
      <c r="B13" s="15"/>
      <c r="C13" s="300"/>
      <c r="D13" s="294"/>
      <c r="E13" s="29"/>
      <c r="F13" s="44"/>
      <c r="G13" s="23"/>
      <c r="H13" s="294"/>
      <c r="I13" s="29"/>
      <c r="J13" s="44"/>
      <c r="K13" s="23"/>
      <c r="L13" s="294"/>
      <c r="M13" s="23"/>
      <c r="N13" s="44"/>
      <c r="O13" s="120"/>
      <c r="P13" s="115"/>
    </row>
    <row r="14" spans="1:16" ht="12.75">
      <c r="A14" s="102" t="s">
        <v>589</v>
      </c>
      <c r="B14" s="248" t="s">
        <v>230</v>
      </c>
      <c r="C14" s="299">
        <v>10504288.35</v>
      </c>
      <c r="D14" s="294"/>
      <c r="E14" s="92"/>
      <c r="F14" s="44"/>
      <c r="G14" s="300"/>
      <c r="H14" s="294"/>
      <c r="I14" s="92"/>
      <c r="J14" s="44"/>
      <c r="K14" s="300"/>
      <c r="L14" s="294"/>
      <c r="M14" s="300"/>
      <c r="N14" s="44"/>
      <c r="O14" s="285">
        <v>10504288.35</v>
      </c>
      <c r="P14" s="301"/>
    </row>
    <row r="15" spans="1:16" s="29" customFormat="1" ht="12.75">
      <c r="A15" s="102" t="s">
        <v>588</v>
      </c>
      <c r="B15" s="231" t="s">
        <v>590</v>
      </c>
      <c r="C15" s="299">
        <v>13855000</v>
      </c>
      <c r="D15" s="299"/>
      <c r="E15" s="92"/>
      <c r="F15" s="44"/>
      <c r="G15" s="300"/>
      <c r="H15" s="294"/>
      <c r="I15" s="92"/>
      <c r="J15" s="44"/>
      <c r="K15" s="300"/>
      <c r="L15" s="294"/>
      <c r="M15" s="300"/>
      <c r="N15" s="44"/>
      <c r="O15" s="285">
        <v>13855000</v>
      </c>
      <c r="P15" s="301"/>
    </row>
    <row r="16" spans="1:16" s="29" customFormat="1" ht="12.75">
      <c r="A16" s="23" t="s">
        <v>101</v>
      </c>
      <c r="B16" s="72" t="s">
        <v>100</v>
      </c>
      <c r="C16" s="299">
        <v>50000</v>
      </c>
      <c r="D16" s="299"/>
      <c r="E16" s="25"/>
      <c r="F16" s="302"/>
      <c r="G16" s="27"/>
      <c r="H16" s="294"/>
      <c r="I16" s="25"/>
      <c r="J16" s="44"/>
      <c r="K16" s="27"/>
      <c r="L16" s="294"/>
      <c r="M16" s="27"/>
      <c r="N16" s="303"/>
      <c r="O16" s="285">
        <v>35000</v>
      </c>
      <c r="P16" s="301"/>
    </row>
    <row r="17" spans="1:16" s="29" customFormat="1" ht="12.75">
      <c r="A17" s="23" t="s">
        <v>103</v>
      </c>
      <c r="B17" s="72" t="s">
        <v>102</v>
      </c>
      <c r="C17" s="299">
        <v>37451169.49</v>
      </c>
      <c r="D17" s="299"/>
      <c r="E17" s="25"/>
      <c r="F17" s="303">
        <v>49736515.51</v>
      </c>
      <c r="G17" s="27"/>
      <c r="H17" s="294"/>
      <c r="I17" s="25"/>
      <c r="J17" s="303"/>
      <c r="K17" s="27"/>
      <c r="L17" s="294"/>
      <c r="M17" s="27">
        <v>12290977.8</v>
      </c>
      <c r="N17" s="303">
        <v>5631.78</v>
      </c>
      <c r="O17" s="285">
        <v>8.642928150948137E-09</v>
      </c>
      <c r="P17" s="301"/>
    </row>
    <row r="18" spans="1:16" s="29" customFormat="1" ht="12.75">
      <c r="A18" s="23" t="s">
        <v>10</v>
      </c>
      <c r="B18" s="72" t="s">
        <v>104</v>
      </c>
      <c r="C18" s="299">
        <v>233908.5</v>
      </c>
      <c r="D18" s="299"/>
      <c r="E18" s="25"/>
      <c r="F18" s="303"/>
      <c r="G18" s="27"/>
      <c r="H18" s="294"/>
      <c r="I18" s="25"/>
      <c r="J18" s="303"/>
      <c r="K18" s="27"/>
      <c r="L18" s="294"/>
      <c r="M18" s="27"/>
      <c r="N18" s="303"/>
      <c r="O18" s="285">
        <v>233908.5</v>
      </c>
      <c r="P18" s="301"/>
    </row>
    <row r="19" spans="1:16" s="29" customFormat="1" ht="12.75">
      <c r="A19" s="23" t="s">
        <v>567</v>
      </c>
      <c r="B19" s="72" t="s">
        <v>568</v>
      </c>
      <c r="C19" s="299">
        <v>1.4551915228366852E-11</v>
      </c>
      <c r="D19" s="299"/>
      <c r="E19" s="25"/>
      <c r="F19" s="303"/>
      <c r="G19" s="27"/>
      <c r="H19" s="294"/>
      <c r="I19" s="25"/>
      <c r="J19" s="303"/>
      <c r="K19" s="27"/>
      <c r="L19" s="294"/>
      <c r="M19" s="27"/>
      <c r="N19" s="303"/>
      <c r="O19" s="285">
        <v>1.4551915228366852E-11</v>
      </c>
      <c r="P19" s="301"/>
    </row>
    <row r="20" spans="1:16" s="29" customFormat="1" ht="12.75">
      <c r="A20" s="23" t="s">
        <v>225</v>
      </c>
      <c r="B20" s="72" t="s">
        <v>226</v>
      </c>
      <c r="C20" s="299">
        <v>0</v>
      </c>
      <c r="D20" s="299"/>
      <c r="E20" s="25"/>
      <c r="F20" s="26"/>
      <c r="G20" s="27"/>
      <c r="H20" s="28"/>
      <c r="I20" s="25"/>
      <c r="J20" s="26"/>
      <c r="K20" s="27"/>
      <c r="L20" s="28"/>
      <c r="M20" s="27"/>
      <c r="N20" s="26"/>
      <c r="O20" s="285">
        <v>0</v>
      </c>
      <c r="P20" s="301"/>
    </row>
    <row r="21" spans="1:16" s="29" customFormat="1" ht="12.75">
      <c r="A21" s="304" t="s">
        <v>11</v>
      </c>
      <c r="B21" s="305" t="s">
        <v>105</v>
      </c>
      <c r="C21" s="299">
        <v>0</v>
      </c>
      <c r="D21" s="299"/>
      <c r="E21" s="25">
        <v>634490</v>
      </c>
      <c r="F21" s="26"/>
      <c r="G21" s="27"/>
      <c r="H21" s="28"/>
      <c r="I21" s="25"/>
      <c r="J21" s="26"/>
      <c r="K21" s="27"/>
      <c r="L21" s="28"/>
      <c r="M21" s="27"/>
      <c r="N21" s="26"/>
      <c r="O21" s="285">
        <v>634490</v>
      </c>
      <c r="P21" s="301"/>
    </row>
    <row r="22" spans="1:16" s="29" customFormat="1" ht="12.75">
      <c r="A22" s="23" t="s">
        <v>108</v>
      </c>
      <c r="B22" s="72" t="s">
        <v>106</v>
      </c>
      <c r="C22" s="299">
        <v>40600</v>
      </c>
      <c r="D22" s="299"/>
      <c r="E22" s="25"/>
      <c r="F22" s="26"/>
      <c r="G22" s="27"/>
      <c r="H22" s="28"/>
      <c r="I22" s="25"/>
      <c r="J22" s="26"/>
      <c r="K22" s="27"/>
      <c r="L22" s="28"/>
      <c r="M22" s="27"/>
      <c r="N22" s="26"/>
      <c r="O22" s="285">
        <v>40600</v>
      </c>
      <c r="P22" s="62"/>
    </row>
    <row r="23" spans="1:16" s="29" customFormat="1" ht="12.75">
      <c r="A23" s="23" t="s">
        <v>109</v>
      </c>
      <c r="B23" s="72" t="s">
        <v>107</v>
      </c>
      <c r="C23" s="299">
        <v>0</v>
      </c>
      <c r="D23" s="299"/>
      <c r="E23" s="25"/>
      <c r="F23" s="26"/>
      <c r="G23" s="27"/>
      <c r="H23" s="28"/>
      <c r="I23" s="25"/>
      <c r="J23" s="26"/>
      <c r="K23" s="27"/>
      <c r="L23" s="28"/>
      <c r="M23" s="27"/>
      <c r="N23" s="26"/>
      <c r="O23" s="285">
        <v>0</v>
      </c>
      <c r="P23" s="62"/>
    </row>
    <row r="24" spans="1:16" s="29" customFormat="1" ht="12.75">
      <c r="A24" s="23" t="s">
        <v>239</v>
      </c>
      <c r="B24" s="72" t="s">
        <v>240</v>
      </c>
      <c r="C24" s="299">
        <v>26250</v>
      </c>
      <c r="D24" s="299"/>
      <c r="E24" s="25">
        <v>101183</v>
      </c>
      <c r="F24" s="26"/>
      <c r="G24" s="27"/>
      <c r="H24" s="28"/>
      <c r="I24" s="25"/>
      <c r="J24" s="26"/>
      <c r="K24" s="27"/>
      <c r="L24" s="28"/>
      <c r="M24" s="27"/>
      <c r="N24" s="26"/>
      <c r="O24" s="285">
        <v>127433</v>
      </c>
      <c r="P24" s="62"/>
    </row>
    <row r="25" spans="1:16" s="29" customFormat="1" ht="12.75">
      <c r="A25" s="23" t="s">
        <v>238</v>
      </c>
      <c r="B25" s="72" t="s">
        <v>231</v>
      </c>
      <c r="C25" s="299">
        <v>3800</v>
      </c>
      <c r="D25" s="299"/>
      <c r="E25" s="25">
        <v>120</v>
      </c>
      <c r="F25" s="26"/>
      <c r="G25" s="27"/>
      <c r="H25" s="28"/>
      <c r="I25" s="25"/>
      <c r="J25" s="26"/>
      <c r="K25" s="27"/>
      <c r="L25" s="28"/>
      <c r="M25" s="27"/>
      <c r="N25" s="26"/>
      <c r="O25" s="285">
        <v>3920</v>
      </c>
      <c r="P25" s="62"/>
    </row>
    <row r="26" spans="1:16" s="29" customFormat="1" ht="12.75">
      <c r="A26" s="23" t="s">
        <v>534</v>
      </c>
      <c r="B26" s="72" t="s">
        <v>526</v>
      </c>
      <c r="C26" s="299">
        <v>10200</v>
      </c>
      <c r="D26" s="299"/>
      <c r="E26" s="25"/>
      <c r="F26" s="26"/>
      <c r="G26" s="27"/>
      <c r="H26" s="28"/>
      <c r="I26" s="25"/>
      <c r="J26" s="26"/>
      <c r="K26" s="27"/>
      <c r="L26" s="28"/>
      <c r="M26" s="27"/>
      <c r="N26" s="26"/>
      <c r="O26" s="285">
        <v>10200</v>
      </c>
      <c r="P26" s="62"/>
    </row>
    <row r="27" spans="1:16" s="29" customFormat="1" ht="12.75">
      <c r="A27" s="23" t="s">
        <v>529</v>
      </c>
      <c r="B27" s="72" t="s">
        <v>520</v>
      </c>
      <c r="C27" s="299">
        <v>96456.95</v>
      </c>
      <c r="D27" s="299"/>
      <c r="E27" s="25"/>
      <c r="F27" s="26"/>
      <c r="G27" s="27"/>
      <c r="H27" s="28"/>
      <c r="I27" s="25"/>
      <c r="J27" s="26"/>
      <c r="K27" s="27"/>
      <c r="L27" s="28"/>
      <c r="M27" s="27"/>
      <c r="N27" s="26"/>
      <c r="O27" s="285">
        <v>96456.95</v>
      </c>
      <c r="P27" s="62"/>
    </row>
    <row r="28" spans="1:16" s="29" customFormat="1" ht="12.75">
      <c r="A28" s="23" t="s">
        <v>213</v>
      </c>
      <c r="B28" s="72" t="s">
        <v>209</v>
      </c>
      <c r="C28" s="299">
        <v>80000</v>
      </c>
      <c r="D28" s="299"/>
      <c r="E28" s="25">
        <v>49720</v>
      </c>
      <c r="F28" s="26"/>
      <c r="G28" s="27"/>
      <c r="H28" s="28">
        <v>80000</v>
      </c>
      <c r="I28" s="25"/>
      <c r="J28" s="26"/>
      <c r="K28" s="27"/>
      <c r="L28" s="28"/>
      <c r="M28" s="27"/>
      <c r="N28" s="26"/>
      <c r="O28" s="285">
        <v>49720</v>
      </c>
      <c r="P28" s="62"/>
    </row>
    <row r="29" spans="1:16" s="29" customFormat="1" ht="12.75">
      <c r="A29" s="23" t="s">
        <v>201</v>
      </c>
      <c r="B29" s="72" t="s">
        <v>200</v>
      </c>
      <c r="C29" s="299">
        <v>0</v>
      </c>
      <c r="D29" s="299"/>
      <c r="E29" s="25"/>
      <c r="F29" s="26"/>
      <c r="G29" s="27"/>
      <c r="H29" s="28"/>
      <c r="I29" s="25"/>
      <c r="J29" s="26"/>
      <c r="K29" s="27"/>
      <c r="L29" s="28"/>
      <c r="M29" s="27"/>
      <c r="N29" s="26"/>
      <c r="O29" s="285">
        <v>0</v>
      </c>
      <c r="P29" s="62"/>
    </row>
    <row r="30" spans="1:16" s="29" customFormat="1" ht="12.75">
      <c r="A30" s="23" t="s">
        <v>202</v>
      </c>
      <c r="B30" s="72" t="s">
        <v>203</v>
      </c>
      <c r="C30" s="299">
        <v>5190</v>
      </c>
      <c r="D30" s="299"/>
      <c r="E30" s="25"/>
      <c r="F30" s="26"/>
      <c r="G30" s="27"/>
      <c r="H30" s="28">
        <v>5190</v>
      </c>
      <c r="I30" s="25"/>
      <c r="J30" s="26"/>
      <c r="K30" s="27"/>
      <c r="L30" s="28"/>
      <c r="M30" s="27"/>
      <c r="N30" s="26"/>
      <c r="O30" s="285">
        <v>0</v>
      </c>
      <c r="P30" s="62"/>
    </row>
    <row r="31" spans="1:16" s="29" customFormat="1" ht="12.75">
      <c r="A31" s="23" t="s">
        <v>52</v>
      </c>
      <c r="B31" s="72" t="s">
        <v>110</v>
      </c>
      <c r="C31" s="299">
        <v>167000</v>
      </c>
      <c r="D31" s="299"/>
      <c r="E31" s="25"/>
      <c r="F31" s="26"/>
      <c r="G31" s="27"/>
      <c r="H31" s="28"/>
      <c r="I31" s="25"/>
      <c r="J31" s="26"/>
      <c r="K31" s="27"/>
      <c r="L31" s="28"/>
      <c r="M31" s="27"/>
      <c r="N31" s="26"/>
      <c r="O31" s="285">
        <v>167000</v>
      </c>
      <c r="P31" s="62"/>
    </row>
    <row r="32" spans="1:16" s="29" customFormat="1" ht="12.75">
      <c r="A32" s="23" t="s">
        <v>12</v>
      </c>
      <c r="B32" s="72" t="s">
        <v>111</v>
      </c>
      <c r="C32" s="299">
        <v>1566828.99</v>
      </c>
      <c r="D32" s="299"/>
      <c r="E32" s="25">
        <v>39000</v>
      </c>
      <c r="F32" s="26"/>
      <c r="G32" s="27"/>
      <c r="H32" s="28"/>
      <c r="I32" s="25"/>
      <c r="J32" s="26"/>
      <c r="K32" s="27"/>
      <c r="L32" s="28"/>
      <c r="M32" s="27"/>
      <c r="N32" s="26"/>
      <c r="O32" s="285">
        <v>1605828.99</v>
      </c>
      <c r="P32" s="62"/>
    </row>
    <row r="33" spans="1:16" s="29" customFormat="1" ht="12.75">
      <c r="A33" s="23" t="s">
        <v>120</v>
      </c>
      <c r="B33" s="72" t="s">
        <v>112</v>
      </c>
      <c r="C33" s="299"/>
      <c r="D33" s="299">
        <v>304933.1</v>
      </c>
      <c r="E33" s="25"/>
      <c r="F33" s="26"/>
      <c r="G33" s="27"/>
      <c r="H33" s="28"/>
      <c r="I33" s="25"/>
      <c r="J33" s="26"/>
      <c r="K33" s="27"/>
      <c r="L33" s="28"/>
      <c r="M33" s="27"/>
      <c r="N33" s="26"/>
      <c r="O33" s="285"/>
      <c r="P33" s="62">
        <v>304933.1</v>
      </c>
    </row>
    <row r="34" spans="1:16" s="29" customFormat="1" ht="12.75">
      <c r="A34" s="23" t="s">
        <v>114</v>
      </c>
      <c r="B34" s="72" t="s">
        <v>113</v>
      </c>
      <c r="C34" s="299">
        <v>722078</v>
      </c>
      <c r="D34" s="299"/>
      <c r="E34" s="25">
        <v>175300</v>
      </c>
      <c r="F34" s="26"/>
      <c r="G34" s="27"/>
      <c r="H34" s="28"/>
      <c r="I34" s="25"/>
      <c r="J34" s="26"/>
      <c r="K34" s="27"/>
      <c r="L34" s="28"/>
      <c r="M34" s="27"/>
      <c r="N34" s="26"/>
      <c r="O34" s="285">
        <v>897378</v>
      </c>
      <c r="P34" s="62"/>
    </row>
    <row r="35" spans="1:16" s="29" customFormat="1" ht="12.75">
      <c r="A35" s="23" t="s">
        <v>115</v>
      </c>
      <c r="B35" s="72" t="s">
        <v>121</v>
      </c>
      <c r="C35" s="299"/>
      <c r="D35" s="299">
        <v>323874.81000000006</v>
      </c>
      <c r="E35" s="25"/>
      <c r="F35" s="26"/>
      <c r="G35" s="27"/>
      <c r="H35" s="28"/>
      <c r="I35" s="25"/>
      <c r="J35" s="26"/>
      <c r="K35" s="27"/>
      <c r="L35" s="28"/>
      <c r="M35" s="27"/>
      <c r="N35" s="26"/>
      <c r="O35" s="285"/>
      <c r="P35" s="62">
        <v>323874.81000000006</v>
      </c>
    </row>
    <row r="36" spans="1:16" s="29" customFormat="1" ht="12.75">
      <c r="A36" s="23" t="s">
        <v>39</v>
      </c>
      <c r="B36" s="72" t="s">
        <v>117</v>
      </c>
      <c r="C36" s="299">
        <v>0</v>
      </c>
      <c r="D36" s="299"/>
      <c r="E36" s="25"/>
      <c r="F36" s="26"/>
      <c r="G36" s="27"/>
      <c r="H36" s="28"/>
      <c r="I36" s="25"/>
      <c r="J36" s="26"/>
      <c r="K36" s="27"/>
      <c r="L36" s="28"/>
      <c r="M36" s="27"/>
      <c r="N36" s="26"/>
      <c r="O36" s="285">
        <v>0</v>
      </c>
      <c r="P36" s="62"/>
    </row>
    <row r="37" spans="1:16" s="29" customFormat="1" ht="12.75">
      <c r="A37" s="23" t="s">
        <v>40</v>
      </c>
      <c r="B37" s="72" t="s">
        <v>116</v>
      </c>
      <c r="C37" s="299">
        <v>0</v>
      </c>
      <c r="D37" s="299">
        <v>0</v>
      </c>
      <c r="E37" s="25"/>
      <c r="F37" s="26"/>
      <c r="G37" s="27"/>
      <c r="H37" s="28"/>
      <c r="I37" s="25"/>
      <c r="J37" s="26"/>
      <c r="K37" s="27"/>
      <c r="L37" s="28"/>
      <c r="M37" s="27"/>
      <c r="N37" s="26"/>
      <c r="O37" s="285">
        <v>0</v>
      </c>
      <c r="P37" s="62">
        <v>0</v>
      </c>
    </row>
    <row r="38" spans="1:16" s="29" customFormat="1" ht="12.75">
      <c r="A38" s="23" t="s">
        <v>123</v>
      </c>
      <c r="B38" s="72" t="s">
        <v>124</v>
      </c>
      <c r="C38" s="299">
        <v>0</v>
      </c>
      <c r="D38" s="299"/>
      <c r="E38" s="25"/>
      <c r="F38" s="26"/>
      <c r="G38" s="27"/>
      <c r="H38" s="28"/>
      <c r="I38" s="25"/>
      <c r="J38" s="26"/>
      <c r="K38" s="27"/>
      <c r="L38" s="28"/>
      <c r="M38" s="27"/>
      <c r="N38" s="26"/>
      <c r="O38" s="285">
        <v>0</v>
      </c>
      <c r="P38" s="62"/>
    </row>
    <row r="39" spans="1:16" s="29" customFormat="1" ht="12.75">
      <c r="A39" s="23" t="s">
        <v>122</v>
      </c>
      <c r="B39" s="72" t="s">
        <v>125</v>
      </c>
      <c r="C39" s="299">
        <v>0</v>
      </c>
      <c r="D39" s="299">
        <v>0</v>
      </c>
      <c r="E39" s="25"/>
      <c r="F39" s="26"/>
      <c r="G39" s="27"/>
      <c r="H39" s="28"/>
      <c r="I39" s="25"/>
      <c r="J39" s="26"/>
      <c r="K39" s="27"/>
      <c r="L39" s="28"/>
      <c r="M39" s="27"/>
      <c r="N39" s="26"/>
      <c r="O39" s="285">
        <v>0</v>
      </c>
      <c r="P39" s="62">
        <v>0</v>
      </c>
    </row>
    <row r="40" spans="1:16" s="29" customFormat="1" ht="12.75">
      <c r="A40" s="23" t="s">
        <v>530</v>
      </c>
      <c r="B40" s="72" t="s">
        <v>533</v>
      </c>
      <c r="C40" s="299">
        <v>40622</v>
      </c>
      <c r="D40" s="299"/>
      <c r="E40" s="25"/>
      <c r="F40" s="26"/>
      <c r="G40" s="27"/>
      <c r="H40" s="28"/>
      <c r="I40" s="25"/>
      <c r="J40" s="26"/>
      <c r="K40" s="27"/>
      <c r="L40" s="28"/>
      <c r="M40" s="27"/>
      <c r="N40" s="26"/>
      <c r="O40" s="285">
        <v>40622</v>
      </c>
      <c r="P40" s="62"/>
    </row>
    <row r="41" spans="1:16" s="29" customFormat="1" ht="12.75">
      <c r="A41" s="306" t="s">
        <v>635</v>
      </c>
      <c r="B41" s="72" t="s">
        <v>532</v>
      </c>
      <c r="C41" s="299"/>
      <c r="D41" s="299">
        <v>1607.95</v>
      </c>
      <c r="E41" s="25"/>
      <c r="F41" s="26"/>
      <c r="G41" s="27"/>
      <c r="H41" s="28"/>
      <c r="I41" s="25"/>
      <c r="J41" s="26"/>
      <c r="K41" s="27"/>
      <c r="L41" s="28"/>
      <c r="M41" s="27"/>
      <c r="N41" s="26"/>
      <c r="O41" s="285"/>
      <c r="P41" s="62">
        <v>1607.95</v>
      </c>
    </row>
    <row r="42" spans="1:16" s="29" customFormat="1" ht="12.75">
      <c r="A42" s="5" t="s">
        <v>128</v>
      </c>
      <c r="B42" s="21" t="s">
        <v>130</v>
      </c>
      <c r="C42" s="299">
        <v>545970</v>
      </c>
      <c r="D42" s="299"/>
      <c r="E42" s="25"/>
      <c r="F42" s="26"/>
      <c r="G42" s="27"/>
      <c r="H42" s="28"/>
      <c r="I42" s="25"/>
      <c r="J42" s="26"/>
      <c r="K42" s="27"/>
      <c r="L42" s="28"/>
      <c r="M42" s="27"/>
      <c r="N42" s="26"/>
      <c r="O42" s="285">
        <v>545970</v>
      </c>
      <c r="P42" s="62"/>
    </row>
    <row r="43" spans="1:16" s="29" customFormat="1" ht="12.75">
      <c r="A43" s="102" t="s">
        <v>129</v>
      </c>
      <c r="B43" s="21" t="s">
        <v>131</v>
      </c>
      <c r="C43" s="299"/>
      <c r="D43" s="299">
        <v>265498.56</v>
      </c>
      <c r="E43" s="25"/>
      <c r="F43" s="26"/>
      <c r="G43" s="27"/>
      <c r="H43" s="28"/>
      <c r="I43" s="25"/>
      <c r="J43" s="26"/>
      <c r="K43" s="27"/>
      <c r="L43" s="28"/>
      <c r="M43" s="27"/>
      <c r="N43" s="26"/>
      <c r="O43" s="285"/>
      <c r="P43" s="62">
        <v>265498.56</v>
      </c>
    </row>
    <row r="44" spans="1:16" s="29" customFormat="1" ht="12.75">
      <c r="A44" s="5" t="s">
        <v>41</v>
      </c>
      <c r="B44" s="21" t="s">
        <v>126</v>
      </c>
      <c r="C44" s="299">
        <v>0</v>
      </c>
      <c r="D44" s="299"/>
      <c r="E44" s="25"/>
      <c r="F44" s="26"/>
      <c r="G44" s="27"/>
      <c r="H44" s="28"/>
      <c r="I44" s="25"/>
      <c r="J44" s="26"/>
      <c r="K44" s="27"/>
      <c r="L44" s="28"/>
      <c r="M44" s="27"/>
      <c r="N44" s="26"/>
      <c r="O44" s="285">
        <v>0</v>
      </c>
      <c r="P44" s="62"/>
    </row>
    <row r="45" spans="1:16" s="29" customFormat="1" ht="12.75">
      <c r="A45" s="23" t="s">
        <v>42</v>
      </c>
      <c r="B45" s="72" t="s">
        <v>127</v>
      </c>
      <c r="C45" s="299">
        <v>0</v>
      </c>
      <c r="D45" s="299">
        <v>0</v>
      </c>
      <c r="E45" s="25"/>
      <c r="F45" s="26"/>
      <c r="G45" s="27"/>
      <c r="H45" s="28"/>
      <c r="I45" s="25"/>
      <c r="J45" s="26"/>
      <c r="K45" s="27"/>
      <c r="L45" s="28"/>
      <c r="M45" s="27"/>
      <c r="N45" s="26"/>
      <c r="O45" s="285">
        <v>0</v>
      </c>
      <c r="P45" s="62">
        <v>0</v>
      </c>
    </row>
    <row r="46" spans="1:16" s="29" customFormat="1" ht="12.75">
      <c r="A46" s="23" t="s">
        <v>13</v>
      </c>
      <c r="B46" s="72" t="s">
        <v>118</v>
      </c>
      <c r="C46" s="299">
        <v>675727.2000000001</v>
      </c>
      <c r="D46" s="299"/>
      <c r="E46" s="25">
        <v>24000</v>
      </c>
      <c r="F46" s="26"/>
      <c r="G46" s="27"/>
      <c r="H46" s="28"/>
      <c r="I46" s="25"/>
      <c r="J46" s="26"/>
      <c r="K46" s="27"/>
      <c r="L46" s="28"/>
      <c r="M46" s="27"/>
      <c r="N46" s="26"/>
      <c r="O46" s="285">
        <v>699727.2000000001</v>
      </c>
      <c r="P46" s="62"/>
    </row>
    <row r="47" spans="1:16" s="29" customFormat="1" ht="12.75">
      <c r="A47" s="304" t="s">
        <v>14</v>
      </c>
      <c r="B47" s="305" t="s">
        <v>119</v>
      </c>
      <c r="C47" s="299"/>
      <c r="D47" s="299">
        <v>249861.28</v>
      </c>
      <c r="E47" s="25"/>
      <c r="F47" s="26"/>
      <c r="G47" s="27"/>
      <c r="H47" s="28"/>
      <c r="I47" s="25"/>
      <c r="J47" s="26"/>
      <c r="K47" s="27"/>
      <c r="L47" s="28"/>
      <c r="M47" s="27"/>
      <c r="N47" s="26"/>
      <c r="O47" s="285"/>
      <c r="P47" s="62">
        <v>249861.28</v>
      </c>
    </row>
    <row r="48" spans="1:16" s="29" customFormat="1" ht="12.75">
      <c r="A48" s="23" t="s">
        <v>559</v>
      </c>
      <c r="B48" s="72" t="s">
        <v>558</v>
      </c>
      <c r="C48" s="299">
        <v>0</v>
      </c>
      <c r="D48" s="299"/>
      <c r="E48" s="25"/>
      <c r="F48" s="26"/>
      <c r="G48" s="27"/>
      <c r="H48" s="28"/>
      <c r="I48" s="25"/>
      <c r="J48" s="26"/>
      <c r="K48" s="27"/>
      <c r="L48" s="28"/>
      <c r="M48" s="27"/>
      <c r="N48" s="26"/>
      <c r="O48" s="285">
        <v>0</v>
      </c>
      <c r="P48" s="62"/>
    </row>
    <row r="49" spans="1:17" s="29" customFormat="1" ht="12.75">
      <c r="A49" s="23" t="s">
        <v>15</v>
      </c>
      <c r="B49" s="72" t="s">
        <v>132</v>
      </c>
      <c r="C49" s="299">
        <v>255996.67999999996</v>
      </c>
      <c r="D49" s="299"/>
      <c r="E49" s="25"/>
      <c r="F49" s="26"/>
      <c r="G49" s="27"/>
      <c r="H49" s="28"/>
      <c r="I49" s="25"/>
      <c r="J49" s="26"/>
      <c r="K49" s="27"/>
      <c r="L49" s="28"/>
      <c r="M49" s="27"/>
      <c r="N49" s="26"/>
      <c r="O49" s="285">
        <v>255996.67999999996</v>
      </c>
      <c r="P49" s="62"/>
      <c r="Q49" s="55"/>
    </row>
    <row r="50" spans="1:17" s="29" customFormat="1" ht="12.75" customHeight="1">
      <c r="A50" s="304"/>
      <c r="B50" s="305"/>
      <c r="C50" s="299">
        <v>0</v>
      </c>
      <c r="D50" s="299"/>
      <c r="E50" s="25"/>
      <c r="F50" s="26"/>
      <c r="G50" s="27"/>
      <c r="H50" s="28"/>
      <c r="I50" s="25"/>
      <c r="J50" s="26"/>
      <c r="K50" s="27"/>
      <c r="L50" s="28"/>
      <c r="M50" s="27"/>
      <c r="N50" s="26"/>
      <c r="O50" s="285"/>
      <c r="P50" s="62"/>
      <c r="Q50" s="55"/>
    </row>
    <row r="51" spans="1:17" s="29" customFormat="1" ht="12.75" customHeight="1">
      <c r="A51" s="43" t="s">
        <v>16</v>
      </c>
      <c r="B51" s="72"/>
      <c r="C51" s="299">
        <v>0</v>
      </c>
      <c r="D51" s="299"/>
      <c r="E51" s="25"/>
      <c r="F51" s="26"/>
      <c r="G51" s="27"/>
      <c r="H51" s="28"/>
      <c r="I51" s="25"/>
      <c r="J51" s="26"/>
      <c r="K51" s="27"/>
      <c r="L51" s="28"/>
      <c r="M51" s="27"/>
      <c r="N51" s="26"/>
      <c r="O51" s="285"/>
      <c r="P51" s="62"/>
      <c r="Q51" s="55"/>
    </row>
    <row r="52" spans="1:16" s="29" customFormat="1" ht="12.75">
      <c r="A52" s="5" t="s">
        <v>31</v>
      </c>
      <c r="B52" s="21" t="s">
        <v>133</v>
      </c>
      <c r="C52" s="299"/>
      <c r="D52" s="299">
        <v>1.3960743672214448E-10</v>
      </c>
      <c r="E52" s="25"/>
      <c r="F52" s="26"/>
      <c r="G52" s="27"/>
      <c r="H52" s="28"/>
      <c r="I52" s="25"/>
      <c r="J52" s="26"/>
      <c r="K52" s="27"/>
      <c r="L52" s="28"/>
      <c r="M52" s="27"/>
      <c r="N52" s="26"/>
      <c r="O52" s="285"/>
      <c r="P52" s="62">
        <v>1.3960743672214448E-10</v>
      </c>
    </row>
    <row r="53" spans="1:16" s="29" customFormat="1" ht="12.75">
      <c r="A53" s="102" t="s">
        <v>46</v>
      </c>
      <c r="B53" s="21" t="s">
        <v>134</v>
      </c>
      <c r="C53" s="299"/>
      <c r="D53" s="299">
        <v>187013.15000000046</v>
      </c>
      <c r="E53" s="25"/>
      <c r="F53" s="26">
        <v>285550.88</v>
      </c>
      <c r="G53" s="27"/>
      <c r="H53" s="28"/>
      <c r="I53" s="25"/>
      <c r="J53" s="26"/>
      <c r="K53" s="27"/>
      <c r="L53" s="28"/>
      <c r="M53" s="27">
        <v>205512.17</v>
      </c>
      <c r="N53" s="26"/>
      <c r="O53" s="285"/>
      <c r="P53" s="62">
        <v>267051.86000000045</v>
      </c>
    </row>
    <row r="54" spans="1:17" s="29" customFormat="1" ht="12.75">
      <c r="A54" s="102" t="s">
        <v>45</v>
      </c>
      <c r="B54" s="21" t="s">
        <v>135</v>
      </c>
      <c r="C54" s="299"/>
      <c r="D54" s="299">
        <v>533029.8599999999</v>
      </c>
      <c r="E54" s="25">
        <v>471666.43</v>
      </c>
      <c r="F54" s="26">
        <v>148394.87</v>
      </c>
      <c r="G54" s="27"/>
      <c r="H54" s="28"/>
      <c r="I54" s="25"/>
      <c r="J54" s="26"/>
      <c r="K54" s="27"/>
      <c r="L54" s="28"/>
      <c r="M54" s="27"/>
      <c r="N54" s="27">
        <v>81691.49</v>
      </c>
      <c r="O54" s="285"/>
      <c r="P54" s="62">
        <v>291449.78999999986</v>
      </c>
      <c r="Q54" s="55"/>
    </row>
    <row r="55" spans="1:17" s="29" customFormat="1" ht="12.75">
      <c r="A55" s="23" t="s">
        <v>58</v>
      </c>
      <c r="B55" s="72" t="s">
        <v>136</v>
      </c>
      <c r="C55" s="299"/>
      <c r="D55" s="299">
        <v>31107.83999999999</v>
      </c>
      <c r="E55" s="25"/>
      <c r="F55" s="26">
        <v>8556.31</v>
      </c>
      <c r="G55" s="27"/>
      <c r="H55" s="28"/>
      <c r="I55" s="25"/>
      <c r="J55" s="26"/>
      <c r="K55" s="27"/>
      <c r="L55" s="28"/>
      <c r="M55" s="27"/>
      <c r="N55" s="26"/>
      <c r="O55" s="285"/>
      <c r="P55" s="62">
        <v>39664.14999999999</v>
      </c>
      <c r="Q55" s="55"/>
    </row>
    <row r="56" spans="1:17" s="29" customFormat="1" ht="12.75">
      <c r="A56" s="23" t="s">
        <v>47</v>
      </c>
      <c r="B56" s="21" t="s">
        <v>137</v>
      </c>
      <c r="C56" s="299"/>
      <c r="D56" s="299">
        <v>16551.49</v>
      </c>
      <c r="E56" s="25">
        <v>24619.93</v>
      </c>
      <c r="F56" s="26">
        <v>7829.49</v>
      </c>
      <c r="G56" s="27"/>
      <c r="H56" s="28"/>
      <c r="I56" s="25"/>
      <c r="J56" s="26"/>
      <c r="K56" s="27"/>
      <c r="L56" s="28"/>
      <c r="M56" s="27"/>
      <c r="N56" s="26"/>
      <c r="O56" s="285"/>
      <c r="P56" s="62">
        <v>-238.9499999999971</v>
      </c>
      <c r="Q56" s="55"/>
    </row>
    <row r="57" spans="1:16" s="29" customFormat="1" ht="12.75">
      <c r="A57" s="23" t="s">
        <v>59</v>
      </c>
      <c r="B57" s="21" t="s">
        <v>138</v>
      </c>
      <c r="C57" s="299"/>
      <c r="D57" s="299">
        <v>73930.98</v>
      </c>
      <c r="E57" s="25">
        <v>272605.81</v>
      </c>
      <c r="F57" s="26">
        <v>110205.4</v>
      </c>
      <c r="G57" s="27"/>
      <c r="H57" s="28"/>
      <c r="I57" s="25"/>
      <c r="J57" s="26"/>
      <c r="K57" s="27"/>
      <c r="L57" s="28"/>
      <c r="M57" s="27"/>
      <c r="N57" s="27">
        <v>35761.24</v>
      </c>
      <c r="O57" s="285"/>
      <c r="P57" s="62">
        <v>-52708.19</v>
      </c>
    </row>
    <row r="58" spans="1:17" s="29" customFormat="1" ht="12.75">
      <c r="A58" s="102" t="s">
        <v>17</v>
      </c>
      <c r="B58" s="21" t="s">
        <v>139</v>
      </c>
      <c r="C58" s="299"/>
      <c r="D58" s="299">
        <v>0</v>
      </c>
      <c r="E58" s="25"/>
      <c r="F58" s="26"/>
      <c r="G58" s="27"/>
      <c r="H58" s="28"/>
      <c r="I58" s="25"/>
      <c r="J58" s="26"/>
      <c r="K58" s="27"/>
      <c r="L58" s="28"/>
      <c r="M58" s="27"/>
      <c r="N58" s="26"/>
      <c r="O58" s="285"/>
      <c r="P58" s="62">
        <v>0</v>
      </c>
      <c r="Q58" s="55"/>
    </row>
    <row r="59" spans="1:16" s="29" customFormat="1" ht="12.75">
      <c r="A59" s="5"/>
      <c r="B59" s="21"/>
      <c r="C59" s="299"/>
      <c r="D59" s="299"/>
      <c r="E59" s="25"/>
      <c r="F59" s="26"/>
      <c r="G59" s="27"/>
      <c r="H59" s="28"/>
      <c r="I59" s="25"/>
      <c r="J59" s="26"/>
      <c r="K59" s="27"/>
      <c r="L59" s="28"/>
      <c r="M59" s="27"/>
      <c r="N59" s="26"/>
      <c r="O59" s="285"/>
      <c r="P59" s="62"/>
    </row>
    <row r="60" spans="1:16" s="29" customFormat="1" ht="12.75">
      <c r="A60" s="270" t="s">
        <v>32</v>
      </c>
      <c r="B60" s="73"/>
      <c r="C60" s="299"/>
      <c r="D60" s="299"/>
      <c r="E60" s="25"/>
      <c r="F60" s="26"/>
      <c r="G60" s="27"/>
      <c r="H60" s="28"/>
      <c r="I60" s="25"/>
      <c r="J60" s="26"/>
      <c r="K60" s="27"/>
      <c r="L60" s="28"/>
      <c r="M60" s="27"/>
      <c r="N60" s="26"/>
      <c r="O60" s="285"/>
      <c r="P60" s="62"/>
    </row>
    <row r="61" spans="1:17" s="29" customFormat="1" ht="12.75">
      <c r="A61" s="56" t="s">
        <v>18</v>
      </c>
      <c r="B61" s="73" t="s">
        <v>140</v>
      </c>
      <c r="C61" s="299"/>
      <c r="D61" s="299">
        <v>26146156.99000001</v>
      </c>
      <c r="E61" s="25"/>
      <c r="F61" s="26"/>
      <c r="G61" s="27"/>
      <c r="H61" s="28"/>
      <c r="I61" s="25"/>
      <c r="J61" s="26"/>
      <c r="K61" s="27"/>
      <c r="L61" s="28"/>
      <c r="M61" s="27"/>
      <c r="N61" s="26"/>
      <c r="O61" s="285"/>
      <c r="P61" s="62">
        <v>26131156.99000001</v>
      </c>
      <c r="Q61" s="293"/>
    </row>
    <row r="62" spans="1:17" s="29" customFormat="1" ht="12.75">
      <c r="A62" s="23" t="s">
        <v>142</v>
      </c>
      <c r="B62" s="72" t="s">
        <v>141</v>
      </c>
      <c r="C62" s="299"/>
      <c r="D62" s="299">
        <v>184766671.12</v>
      </c>
      <c r="E62" s="25"/>
      <c r="F62" s="26"/>
      <c r="G62" s="27"/>
      <c r="H62" s="28"/>
      <c r="I62" s="25"/>
      <c r="J62" s="26"/>
      <c r="K62" s="27"/>
      <c r="L62" s="28"/>
      <c r="M62" s="27"/>
      <c r="N62" s="26">
        <v>12487563.17</v>
      </c>
      <c r="O62" s="285"/>
      <c r="P62" s="62">
        <v>197254234.29</v>
      </c>
      <c r="Q62" s="293"/>
    </row>
    <row r="63" spans="1:17" s="29" customFormat="1" ht="12.75">
      <c r="A63" s="23"/>
      <c r="B63" s="72"/>
      <c r="C63" s="299"/>
      <c r="D63" s="299"/>
      <c r="E63" s="25"/>
      <c r="F63" s="26"/>
      <c r="G63" s="27"/>
      <c r="H63" s="28"/>
      <c r="I63" s="25"/>
      <c r="J63" s="26"/>
      <c r="K63" s="27"/>
      <c r="L63" s="28"/>
      <c r="M63" s="27"/>
      <c r="N63" s="26"/>
      <c r="O63" s="285"/>
      <c r="P63" s="62"/>
      <c r="Q63" s="293"/>
    </row>
    <row r="64" spans="1:17" s="29" customFormat="1" ht="12.75">
      <c r="A64" s="43" t="s">
        <v>19</v>
      </c>
      <c r="B64" s="72"/>
      <c r="C64" s="299"/>
      <c r="D64" s="299"/>
      <c r="E64" s="25"/>
      <c r="F64" s="26"/>
      <c r="G64" s="27"/>
      <c r="H64" s="28"/>
      <c r="I64" s="25"/>
      <c r="J64" s="26"/>
      <c r="K64" s="27"/>
      <c r="L64" s="28"/>
      <c r="M64" s="27"/>
      <c r="N64" s="26"/>
      <c r="O64" s="285"/>
      <c r="P64" s="62"/>
      <c r="Q64" s="293"/>
    </row>
    <row r="65" spans="1:17" s="29" customFormat="1" ht="12.75">
      <c r="A65" s="23" t="s">
        <v>143</v>
      </c>
      <c r="B65" s="72" t="s">
        <v>144</v>
      </c>
      <c r="C65" s="299">
        <v>8373037.049999999</v>
      </c>
      <c r="D65" s="299"/>
      <c r="E65" s="25">
        <v>866957</v>
      </c>
      <c r="F65" s="26"/>
      <c r="G65" s="27"/>
      <c r="H65" s="28"/>
      <c r="I65" s="25"/>
      <c r="J65" s="26"/>
      <c r="K65" s="27"/>
      <c r="L65" s="28"/>
      <c r="M65" s="27">
        <v>117452.73</v>
      </c>
      <c r="N65" s="26"/>
      <c r="O65" s="285">
        <v>9357446.78</v>
      </c>
      <c r="P65" s="62"/>
      <c r="Q65" s="293"/>
    </row>
    <row r="66" spans="1:17" s="29" customFormat="1" ht="12.75">
      <c r="A66" s="23" t="s">
        <v>20</v>
      </c>
      <c r="B66" s="72" t="s">
        <v>145</v>
      </c>
      <c r="C66" s="299">
        <v>318545.45</v>
      </c>
      <c r="D66" s="299"/>
      <c r="E66" s="25">
        <v>38000</v>
      </c>
      <c r="F66" s="26"/>
      <c r="G66" s="27"/>
      <c r="H66" s="28"/>
      <c r="I66" s="25"/>
      <c r="J66" s="26"/>
      <c r="K66" s="27"/>
      <c r="L66" s="28"/>
      <c r="M66" s="27"/>
      <c r="N66" s="26"/>
      <c r="O66" s="285">
        <v>356545.45</v>
      </c>
      <c r="P66" s="62"/>
      <c r="Q66" s="293"/>
    </row>
    <row r="67" spans="1:17" s="29" customFormat="1" ht="12.75">
      <c r="A67" s="23" t="s">
        <v>21</v>
      </c>
      <c r="B67" s="72" t="s">
        <v>146</v>
      </c>
      <c r="C67" s="299">
        <v>140272.72999999998</v>
      </c>
      <c r="D67" s="299"/>
      <c r="E67" s="25">
        <v>27500</v>
      </c>
      <c r="F67" s="26"/>
      <c r="G67" s="27"/>
      <c r="H67" s="28"/>
      <c r="I67" s="25"/>
      <c r="J67" s="26"/>
      <c r="K67" s="27"/>
      <c r="L67" s="28"/>
      <c r="M67" s="27"/>
      <c r="N67" s="26"/>
      <c r="O67" s="285">
        <v>167772.72999999998</v>
      </c>
      <c r="P67" s="62"/>
      <c r="Q67" s="293"/>
    </row>
    <row r="68" spans="1:17" s="29" customFormat="1" ht="13.5" customHeight="1">
      <c r="A68" s="23" t="s">
        <v>22</v>
      </c>
      <c r="B68" s="72" t="s">
        <v>147</v>
      </c>
      <c r="C68" s="299">
        <v>140272.72999999998</v>
      </c>
      <c r="D68" s="299"/>
      <c r="E68" s="25">
        <v>27500</v>
      </c>
      <c r="F68" s="26"/>
      <c r="G68" s="27"/>
      <c r="H68" s="28"/>
      <c r="I68" s="25"/>
      <c r="J68" s="26"/>
      <c r="K68" s="27"/>
      <c r="L68" s="28"/>
      <c r="M68" s="27"/>
      <c r="N68" s="26"/>
      <c r="O68" s="285">
        <v>167772.72999999998</v>
      </c>
      <c r="P68" s="62"/>
      <c r="Q68" s="293"/>
    </row>
    <row r="69" spans="1:17" s="29" customFormat="1" ht="12.75" customHeight="1">
      <c r="A69" s="23" t="s">
        <v>67</v>
      </c>
      <c r="B69" s="72" t="s">
        <v>527</v>
      </c>
      <c r="C69" s="299">
        <v>177845</v>
      </c>
      <c r="D69" s="299"/>
      <c r="E69" s="25">
        <v>41829.77</v>
      </c>
      <c r="F69" s="26"/>
      <c r="G69" s="27"/>
      <c r="H69" s="28"/>
      <c r="I69" s="25"/>
      <c r="J69" s="26"/>
      <c r="K69" s="27"/>
      <c r="L69" s="28"/>
      <c r="M69" s="27"/>
      <c r="N69" s="26"/>
      <c r="O69" s="285">
        <v>219674.77</v>
      </c>
      <c r="P69" s="62"/>
      <c r="Q69" s="293"/>
    </row>
    <row r="70" spans="1:17" s="29" customFormat="1" ht="12.75">
      <c r="A70" s="23" t="s">
        <v>149</v>
      </c>
      <c r="B70" s="72" t="s">
        <v>148</v>
      </c>
      <c r="C70" s="299">
        <v>0</v>
      </c>
      <c r="D70" s="299"/>
      <c r="E70" s="25"/>
      <c r="F70" s="26"/>
      <c r="G70" s="27"/>
      <c r="H70" s="28"/>
      <c r="I70" s="25"/>
      <c r="J70" s="26"/>
      <c r="K70" s="27"/>
      <c r="L70" s="28"/>
      <c r="M70" s="27"/>
      <c r="N70" s="26"/>
      <c r="O70" s="285">
        <v>0</v>
      </c>
      <c r="P70" s="62"/>
      <c r="Q70" s="293"/>
    </row>
    <row r="71" spans="1:17" s="29" customFormat="1" ht="12.75">
      <c r="A71" s="23" t="s">
        <v>66</v>
      </c>
      <c r="B71" s="72" t="s">
        <v>150</v>
      </c>
      <c r="C71" s="299">
        <v>0</v>
      </c>
      <c r="D71" s="299"/>
      <c r="E71" s="25"/>
      <c r="F71" s="26"/>
      <c r="G71" s="27"/>
      <c r="H71" s="28"/>
      <c r="I71" s="25"/>
      <c r="J71" s="26"/>
      <c r="K71" s="27"/>
      <c r="L71" s="28"/>
      <c r="M71" s="27"/>
      <c r="N71" s="26"/>
      <c r="O71" s="285">
        <v>0</v>
      </c>
      <c r="P71" s="62"/>
      <c r="Q71" s="293"/>
    </row>
    <row r="72" spans="1:17" s="29" customFormat="1" ht="12.75">
      <c r="A72" s="23" t="s">
        <v>221</v>
      </c>
      <c r="B72" s="72" t="s">
        <v>537</v>
      </c>
      <c r="C72" s="299">
        <v>3000</v>
      </c>
      <c r="D72" s="299"/>
      <c r="E72" s="25"/>
      <c r="F72" s="26"/>
      <c r="G72" s="27"/>
      <c r="H72" s="28"/>
      <c r="I72" s="25"/>
      <c r="J72" s="26"/>
      <c r="K72" s="27"/>
      <c r="L72" s="28"/>
      <c r="M72" s="27"/>
      <c r="N72" s="26"/>
      <c r="O72" s="285">
        <v>3000</v>
      </c>
      <c r="P72" s="62"/>
      <c r="Q72" s="293"/>
    </row>
    <row r="73" spans="1:17" s="29" customFormat="1" ht="12.75">
      <c r="A73" s="23" t="s">
        <v>631</v>
      </c>
      <c r="B73" s="72">
        <v>50102120</v>
      </c>
      <c r="C73" s="299">
        <v>15000</v>
      </c>
      <c r="D73" s="299"/>
      <c r="E73" s="25"/>
      <c r="F73" s="26"/>
      <c r="G73" s="27"/>
      <c r="H73" s="28"/>
      <c r="I73" s="25"/>
      <c r="J73" s="26"/>
      <c r="K73" s="27"/>
      <c r="L73" s="28"/>
      <c r="M73" s="27"/>
      <c r="N73" s="26"/>
      <c r="O73" s="285">
        <v>15000</v>
      </c>
      <c r="P73" s="62"/>
      <c r="Q73" s="293"/>
    </row>
    <row r="74" spans="1:17" s="29" customFormat="1" ht="12.75">
      <c r="A74" s="23" t="s">
        <v>76</v>
      </c>
      <c r="B74" s="72" t="s">
        <v>153</v>
      </c>
      <c r="C74" s="92">
        <v>0</v>
      </c>
      <c r="D74" s="299"/>
      <c r="E74" s="25"/>
      <c r="F74" s="26"/>
      <c r="G74" s="27"/>
      <c r="H74" s="28"/>
      <c r="I74" s="25"/>
      <c r="J74" s="26"/>
      <c r="K74" s="27"/>
      <c r="L74" s="28"/>
      <c r="M74" s="27"/>
      <c r="N74" s="26"/>
      <c r="O74" s="285">
        <v>0</v>
      </c>
      <c r="P74" s="62"/>
      <c r="Q74" s="293"/>
    </row>
    <row r="75" spans="1:17" s="29" customFormat="1" ht="12.75">
      <c r="A75" s="23" t="s">
        <v>242</v>
      </c>
      <c r="B75" s="72" t="s">
        <v>234</v>
      </c>
      <c r="C75" s="299">
        <v>940884</v>
      </c>
      <c r="D75" s="299"/>
      <c r="E75" s="25"/>
      <c r="F75" s="26"/>
      <c r="G75" s="27"/>
      <c r="H75" s="28"/>
      <c r="I75" s="25"/>
      <c r="J75" s="26"/>
      <c r="K75" s="27"/>
      <c r="L75" s="28"/>
      <c r="M75" s="27"/>
      <c r="N75" s="26"/>
      <c r="O75" s="285">
        <v>940884</v>
      </c>
      <c r="P75" s="62"/>
      <c r="Q75" s="293"/>
    </row>
    <row r="76" spans="1:17" s="29" customFormat="1" ht="12.75">
      <c r="A76" s="23" t="s">
        <v>75</v>
      </c>
      <c r="B76" s="72" t="s">
        <v>152</v>
      </c>
      <c r="C76" s="299">
        <v>0</v>
      </c>
      <c r="D76" s="299"/>
      <c r="E76" s="25"/>
      <c r="F76" s="26"/>
      <c r="G76" s="27"/>
      <c r="H76" s="28"/>
      <c r="I76" s="25"/>
      <c r="J76" s="26"/>
      <c r="K76" s="27"/>
      <c r="L76" s="28"/>
      <c r="M76" s="27"/>
      <c r="N76" s="26"/>
      <c r="O76" s="285">
        <v>0</v>
      </c>
      <c r="P76" s="62"/>
      <c r="Q76" s="293"/>
    </row>
    <row r="77" spans="1:17" s="29" customFormat="1" ht="12.75">
      <c r="A77" s="23" t="s">
        <v>70</v>
      </c>
      <c r="B77" s="72" t="s">
        <v>151</v>
      </c>
      <c r="C77" s="299">
        <v>0</v>
      </c>
      <c r="D77" s="299"/>
      <c r="E77" s="25"/>
      <c r="F77" s="26"/>
      <c r="G77" s="27"/>
      <c r="H77" s="28"/>
      <c r="I77" s="25"/>
      <c r="J77" s="26"/>
      <c r="K77" s="27"/>
      <c r="L77" s="28"/>
      <c r="M77" s="27"/>
      <c r="N77" s="26"/>
      <c r="O77" s="285">
        <v>0</v>
      </c>
      <c r="P77" s="62"/>
      <c r="Q77" s="293"/>
    </row>
    <row r="78" spans="1:17" s="29" customFormat="1" ht="12.75" customHeight="1">
      <c r="A78" s="23" t="s">
        <v>562</v>
      </c>
      <c r="B78" s="72" t="s">
        <v>563</v>
      </c>
      <c r="C78" s="299">
        <v>0</v>
      </c>
      <c r="D78" s="299"/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285">
        <v>0</v>
      </c>
      <c r="P78" s="62"/>
      <c r="Q78" s="293"/>
    </row>
    <row r="79" spans="1:17" s="29" customFormat="1" ht="12.75">
      <c r="A79" s="23" t="s">
        <v>564</v>
      </c>
      <c r="B79" s="72" t="s">
        <v>565</v>
      </c>
      <c r="C79" s="299">
        <v>0</v>
      </c>
      <c r="D79" s="299"/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285">
        <v>0</v>
      </c>
      <c r="P79" s="62"/>
      <c r="Q79" s="293"/>
    </row>
    <row r="80" spans="1:17" s="29" customFormat="1" ht="12.75">
      <c r="A80" s="23" t="s">
        <v>553</v>
      </c>
      <c r="B80" s="72" t="s">
        <v>554</v>
      </c>
      <c r="C80" s="299">
        <v>0</v>
      </c>
      <c r="D80" s="299"/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285">
        <v>0</v>
      </c>
      <c r="P80" s="62"/>
      <c r="Q80" s="293"/>
    </row>
    <row r="81" spans="1:17" s="29" customFormat="1" ht="13.5" customHeight="1">
      <c r="A81" s="23" t="s">
        <v>33</v>
      </c>
      <c r="B81" s="72" t="s">
        <v>154</v>
      </c>
      <c r="C81" s="299">
        <v>974890.2899999999</v>
      </c>
      <c r="D81" s="299"/>
      <c r="E81" s="25">
        <v>282196.77</v>
      </c>
      <c r="F81" s="26"/>
      <c r="G81" s="27"/>
      <c r="H81" s="28"/>
      <c r="I81" s="25"/>
      <c r="J81" s="26"/>
      <c r="K81" s="27"/>
      <c r="L81" s="28"/>
      <c r="M81" s="27"/>
      <c r="N81" s="26">
        <v>8926.8</v>
      </c>
      <c r="O81" s="285">
        <v>1248160.26</v>
      </c>
      <c r="P81" s="62"/>
      <c r="Q81" s="293"/>
    </row>
    <row r="82" spans="1:17" s="29" customFormat="1" ht="12.75">
      <c r="A82" s="23" t="s">
        <v>34</v>
      </c>
      <c r="B82" s="72" t="s">
        <v>155</v>
      </c>
      <c r="C82" s="299">
        <v>25908.5</v>
      </c>
      <c r="D82" s="299"/>
      <c r="E82" s="25">
        <v>100</v>
      </c>
      <c r="F82" s="26"/>
      <c r="G82" s="27"/>
      <c r="H82" s="28"/>
      <c r="I82" s="25"/>
      <c r="J82" s="26"/>
      <c r="K82" s="27"/>
      <c r="L82" s="28"/>
      <c r="M82" s="27"/>
      <c r="N82" s="26"/>
      <c r="O82" s="285">
        <v>26008.5</v>
      </c>
      <c r="P82" s="62"/>
      <c r="Q82" s="293"/>
    </row>
    <row r="83" spans="1:17" s="29" customFormat="1" ht="12.75">
      <c r="A83" s="23" t="s">
        <v>35</v>
      </c>
      <c r="B83" s="72" t="s">
        <v>156</v>
      </c>
      <c r="C83" s="299">
        <v>61904.810000000005</v>
      </c>
      <c r="D83" s="299"/>
      <c r="E83" s="25">
        <v>25170.02</v>
      </c>
      <c r="F83" s="26"/>
      <c r="G83" s="27"/>
      <c r="H83" s="28"/>
      <c r="I83" s="25"/>
      <c r="J83" s="26"/>
      <c r="K83" s="27"/>
      <c r="L83" s="28"/>
      <c r="M83" s="27"/>
      <c r="N83" s="26"/>
      <c r="O83" s="285">
        <v>87074.83</v>
      </c>
      <c r="P83" s="62"/>
      <c r="Q83" s="293"/>
    </row>
    <row r="84" spans="1:17" s="29" customFormat="1" ht="12.75">
      <c r="A84" s="23" t="s">
        <v>36</v>
      </c>
      <c r="B84" s="72" t="s">
        <v>157</v>
      </c>
      <c r="C84" s="299">
        <v>20500</v>
      </c>
      <c r="D84" s="299"/>
      <c r="E84" s="25">
        <v>5700</v>
      </c>
      <c r="F84" s="26"/>
      <c r="G84" s="27"/>
      <c r="H84" s="28"/>
      <c r="I84" s="25"/>
      <c r="J84" s="26"/>
      <c r="K84" s="27"/>
      <c r="L84" s="28"/>
      <c r="M84" s="27"/>
      <c r="N84" s="26"/>
      <c r="O84" s="285">
        <v>26200</v>
      </c>
      <c r="P84" s="62"/>
      <c r="Q84" s="293"/>
    </row>
    <row r="85" spans="1:17" s="29" customFormat="1" ht="12.75">
      <c r="A85" s="23" t="s">
        <v>208</v>
      </c>
      <c r="B85" s="72" t="s">
        <v>207</v>
      </c>
      <c r="C85" s="299">
        <v>45885.47</v>
      </c>
      <c r="D85" s="299"/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285">
        <v>45885.47</v>
      </c>
      <c r="P85" s="62"/>
      <c r="Q85" s="293"/>
    </row>
    <row r="86" spans="1:17" s="29" customFormat="1" ht="12.75">
      <c r="A86" s="23" t="s">
        <v>98</v>
      </c>
      <c r="B86" s="72" t="s">
        <v>555</v>
      </c>
      <c r="C86" s="299">
        <v>1090999.4000000001</v>
      </c>
      <c r="D86" s="299"/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285">
        <v>1090999.4000000001</v>
      </c>
      <c r="P86" s="62"/>
      <c r="Q86" s="293"/>
    </row>
    <row r="87" spans="1:17" s="29" customFormat="1" ht="12.75">
      <c r="A87" s="23" t="s">
        <v>28</v>
      </c>
      <c r="B87" s="72" t="s">
        <v>158</v>
      </c>
      <c r="C87" s="299">
        <v>972449.58</v>
      </c>
      <c r="D87" s="299"/>
      <c r="E87" s="25">
        <v>71627.64</v>
      </c>
      <c r="F87" s="26"/>
      <c r="G87" s="27">
        <v>5190</v>
      </c>
      <c r="H87" s="28"/>
      <c r="I87" s="25"/>
      <c r="J87" s="26"/>
      <c r="K87" s="27"/>
      <c r="L87" s="28"/>
      <c r="M87" s="27">
        <v>3929</v>
      </c>
      <c r="N87" s="26"/>
      <c r="O87" s="285">
        <v>1053196.22</v>
      </c>
      <c r="P87" s="62"/>
      <c r="Q87" s="293"/>
    </row>
    <row r="88" spans="1:17" s="29" customFormat="1" ht="12.75">
      <c r="A88" s="23" t="s">
        <v>243</v>
      </c>
      <c r="B88" s="72" t="s">
        <v>236</v>
      </c>
      <c r="C88" s="299">
        <v>0</v>
      </c>
      <c r="D88" s="299"/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285">
        <v>0</v>
      </c>
      <c r="P88" s="62"/>
      <c r="Q88" s="293"/>
    </row>
    <row r="89" spans="1:17" s="29" customFormat="1" ht="12.75">
      <c r="A89" s="23" t="s">
        <v>27</v>
      </c>
      <c r="B89" s="72" t="s">
        <v>159</v>
      </c>
      <c r="C89" s="299">
        <v>3835579.5</v>
      </c>
      <c r="D89" s="299"/>
      <c r="E89" s="25">
        <v>550968.92</v>
      </c>
      <c r="F89" s="26"/>
      <c r="G89" s="27">
        <v>80000</v>
      </c>
      <c r="H89" s="28"/>
      <c r="I89" s="25"/>
      <c r="J89" s="26"/>
      <c r="K89" s="27"/>
      <c r="L89" s="28"/>
      <c r="M89" s="27"/>
      <c r="N89" s="26"/>
      <c r="O89" s="285">
        <v>4466548.42</v>
      </c>
      <c r="P89" s="62"/>
      <c r="Q89" s="293"/>
    </row>
    <row r="90" spans="1:17" s="29" customFormat="1" ht="12.75">
      <c r="A90" s="23" t="s">
        <v>160</v>
      </c>
      <c r="B90" s="72" t="s">
        <v>161</v>
      </c>
      <c r="C90" s="299">
        <v>0</v>
      </c>
      <c r="D90" s="299"/>
      <c r="E90" s="25"/>
      <c r="F90" s="26"/>
      <c r="G90" s="27"/>
      <c r="H90" s="28"/>
      <c r="I90" s="25"/>
      <c r="J90" s="26"/>
      <c r="K90" s="27"/>
      <c r="L90" s="28"/>
      <c r="M90" s="27"/>
      <c r="N90" s="26"/>
      <c r="O90" s="285">
        <v>0</v>
      </c>
      <c r="P90" s="62"/>
      <c r="Q90" s="293"/>
    </row>
    <row r="91" spans="1:17" s="29" customFormat="1" ht="12.75">
      <c r="A91" s="23" t="s">
        <v>61</v>
      </c>
      <c r="B91" s="72" t="s">
        <v>162</v>
      </c>
      <c r="C91" s="299">
        <v>914568.1499999999</v>
      </c>
      <c r="D91" s="299"/>
      <c r="E91" s="25">
        <v>315117</v>
      </c>
      <c r="F91" s="26"/>
      <c r="G91" s="27"/>
      <c r="H91" s="28"/>
      <c r="I91" s="25"/>
      <c r="J91" s="26"/>
      <c r="K91" s="27"/>
      <c r="L91" s="28"/>
      <c r="M91" s="27"/>
      <c r="N91" s="26"/>
      <c r="O91" s="285">
        <v>1229685.15</v>
      </c>
      <c r="P91" s="62"/>
      <c r="Q91" s="293"/>
    </row>
    <row r="92" spans="1:17" s="29" customFormat="1" ht="12.75">
      <c r="A92" s="23" t="s">
        <v>56</v>
      </c>
      <c r="B92" s="72" t="s">
        <v>163</v>
      </c>
      <c r="C92" s="299">
        <v>35000</v>
      </c>
      <c r="D92" s="299"/>
      <c r="E92" s="25"/>
      <c r="F92" s="26"/>
      <c r="G92" s="27"/>
      <c r="H92" s="28"/>
      <c r="I92" s="25"/>
      <c r="J92" s="26"/>
      <c r="K92" s="27"/>
      <c r="L92" s="28"/>
      <c r="M92" s="27"/>
      <c r="N92" s="26"/>
      <c r="O92" s="285">
        <v>35000</v>
      </c>
      <c r="P92" s="62"/>
      <c r="Q92" s="293"/>
    </row>
    <row r="93" spans="1:17" s="29" customFormat="1" ht="12.75">
      <c r="A93" s="23" t="s">
        <v>217</v>
      </c>
      <c r="B93" s="72" t="s">
        <v>218</v>
      </c>
      <c r="C93" s="299">
        <v>0</v>
      </c>
      <c r="D93" s="299"/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285">
        <v>0</v>
      </c>
      <c r="P93" s="62"/>
      <c r="Q93" s="293"/>
    </row>
    <row r="94" spans="1:17" s="29" customFormat="1" ht="12.75">
      <c r="A94" s="23" t="s">
        <v>164</v>
      </c>
      <c r="B94" s="72" t="s">
        <v>165</v>
      </c>
      <c r="C94" s="299">
        <v>327570.88</v>
      </c>
      <c r="D94" s="299"/>
      <c r="E94" s="25">
        <v>161309.43</v>
      </c>
      <c r="F94" s="26"/>
      <c r="G94" s="27"/>
      <c r="H94" s="28"/>
      <c r="I94" s="25"/>
      <c r="J94" s="26"/>
      <c r="K94" s="27"/>
      <c r="L94" s="28"/>
      <c r="M94" s="27"/>
      <c r="N94" s="26"/>
      <c r="O94" s="285">
        <v>488880.31</v>
      </c>
      <c r="P94" s="62"/>
      <c r="Q94" s="293"/>
    </row>
    <row r="95" spans="1:17" s="29" customFormat="1" ht="12.75">
      <c r="A95" s="23" t="s">
        <v>570</v>
      </c>
      <c r="B95" s="72" t="s">
        <v>556</v>
      </c>
      <c r="C95" s="299">
        <v>0</v>
      </c>
      <c r="D95" s="299"/>
      <c r="E95" s="25">
        <v>545</v>
      </c>
      <c r="F95" s="26"/>
      <c r="G95" s="27"/>
      <c r="H95" s="28"/>
      <c r="I95" s="25"/>
      <c r="J95" s="26"/>
      <c r="K95" s="27"/>
      <c r="L95" s="28"/>
      <c r="M95" s="27"/>
      <c r="N95" s="26"/>
      <c r="O95" s="285">
        <v>545</v>
      </c>
      <c r="P95" s="62"/>
      <c r="Q95" s="293"/>
    </row>
    <row r="96" spans="1:17" s="29" customFormat="1" ht="12.75">
      <c r="A96" s="23" t="s">
        <v>535</v>
      </c>
      <c r="B96" s="72" t="s">
        <v>521</v>
      </c>
      <c r="C96" s="299">
        <v>1560</v>
      </c>
      <c r="D96" s="299"/>
      <c r="E96" s="25"/>
      <c r="F96" s="26"/>
      <c r="G96" s="27"/>
      <c r="H96" s="28"/>
      <c r="I96" s="25"/>
      <c r="J96" s="26"/>
      <c r="K96" s="27"/>
      <c r="L96" s="28"/>
      <c r="M96" s="27"/>
      <c r="N96" s="26"/>
      <c r="O96" s="285">
        <v>1560</v>
      </c>
      <c r="P96" s="62"/>
      <c r="Q96" s="293"/>
    </row>
    <row r="97" spans="1:17" s="29" customFormat="1" ht="12.75">
      <c r="A97" s="23" t="s">
        <v>536</v>
      </c>
      <c r="B97" s="72" t="s">
        <v>522</v>
      </c>
      <c r="C97" s="299">
        <v>600</v>
      </c>
      <c r="D97" s="299"/>
      <c r="E97" s="25">
        <v>580</v>
      </c>
      <c r="F97" s="26"/>
      <c r="G97" s="27"/>
      <c r="H97" s="28"/>
      <c r="I97" s="25"/>
      <c r="J97" s="26"/>
      <c r="K97" s="27"/>
      <c r="L97" s="28"/>
      <c r="M97" s="27"/>
      <c r="N97" s="26"/>
      <c r="O97" s="285">
        <v>1180</v>
      </c>
      <c r="P97" s="62"/>
      <c r="Q97" s="293"/>
    </row>
    <row r="98" spans="1:17" s="29" customFormat="1" ht="12.75">
      <c r="A98" s="23" t="s">
        <v>571</v>
      </c>
      <c r="B98" s="72" t="s">
        <v>572</v>
      </c>
      <c r="C98" s="299">
        <v>0</v>
      </c>
      <c r="D98" s="299"/>
      <c r="E98" s="25"/>
      <c r="F98" s="26"/>
      <c r="G98" s="27"/>
      <c r="H98" s="28"/>
      <c r="I98" s="25"/>
      <c r="J98" s="26"/>
      <c r="K98" s="27"/>
      <c r="L98" s="28"/>
      <c r="M98" s="27"/>
      <c r="N98" s="26"/>
      <c r="O98" s="285">
        <v>0</v>
      </c>
      <c r="P98" s="62"/>
      <c r="Q98" s="293"/>
    </row>
    <row r="99" spans="1:17" s="29" customFormat="1" ht="12.75">
      <c r="A99" s="23" t="s">
        <v>573</v>
      </c>
      <c r="B99" s="72" t="s">
        <v>557</v>
      </c>
      <c r="C99" s="299">
        <v>0</v>
      </c>
      <c r="D99" s="299"/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285">
        <v>0</v>
      </c>
      <c r="P99" s="62"/>
      <c r="Q99" s="293"/>
    </row>
    <row r="100" spans="1:17" s="29" customFormat="1" ht="12.75">
      <c r="A100" s="23" t="s">
        <v>241</v>
      </c>
      <c r="B100" s="72" t="s">
        <v>235</v>
      </c>
      <c r="C100" s="299">
        <v>24782.92</v>
      </c>
      <c r="D100" s="299"/>
      <c r="E100" s="25">
        <v>126028</v>
      </c>
      <c r="F100" s="26"/>
      <c r="G100" s="27"/>
      <c r="H100" s="28"/>
      <c r="I100" s="25"/>
      <c r="J100" s="26"/>
      <c r="K100" s="27"/>
      <c r="L100" s="28"/>
      <c r="M100" s="27"/>
      <c r="N100" s="26"/>
      <c r="O100" s="285">
        <v>150810.91999999998</v>
      </c>
      <c r="P100" s="62"/>
      <c r="Q100" s="293"/>
    </row>
    <row r="101" spans="1:17" s="29" customFormat="1" ht="12.75">
      <c r="A101" s="23" t="s">
        <v>166</v>
      </c>
      <c r="B101" s="72" t="s">
        <v>167</v>
      </c>
      <c r="C101" s="299">
        <v>4386953.91</v>
      </c>
      <c r="D101" s="299"/>
      <c r="E101" s="25">
        <v>1201121.75</v>
      </c>
      <c r="F101" s="26"/>
      <c r="G101" s="27"/>
      <c r="H101" s="28"/>
      <c r="I101" s="25"/>
      <c r="J101" s="26"/>
      <c r="K101" s="27"/>
      <c r="L101" s="28"/>
      <c r="M101" s="27"/>
      <c r="N101" s="26"/>
      <c r="O101" s="285">
        <v>5588075.66</v>
      </c>
      <c r="P101" s="62"/>
      <c r="Q101" s="293"/>
    </row>
    <row r="102" spans="1:17" s="29" customFormat="1" ht="12.75">
      <c r="A102" s="23" t="s">
        <v>37</v>
      </c>
      <c r="B102" s="72" t="s">
        <v>168</v>
      </c>
      <c r="C102" s="299">
        <v>60412.02</v>
      </c>
      <c r="D102" s="299"/>
      <c r="E102" s="25">
        <v>1272</v>
      </c>
      <c r="F102" s="26"/>
      <c r="G102" s="27"/>
      <c r="H102" s="28"/>
      <c r="I102" s="25"/>
      <c r="J102" s="26"/>
      <c r="K102" s="27"/>
      <c r="L102" s="28"/>
      <c r="M102" s="27"/>
      <c r="N102" s="26"/>
      <c r="O102" s="285">
        <v>61684.02</v>
      </c>
      <c r="P102" s="62"/>
      <c r="Q102" s="293"/>
    </row>
    <row r="103" spans="1:17" s="29" customFormat="1" ht="12.75">
      <c r="A103" s="23" t="s">
        <v>43</v>
      </c>
      <c r="B103" s="72" t="s">
        <v>169</v>
      </c>
      <c r="C103" s="299">
        <v>346660.89</v>
      </c>
      <c r="D103" s="299"/>
      <c r="E103" s="25"/>
      <c r="F103" s="26"/>
      <c r="G103" s="27"/>
      <c r="H103" s="28"/>
      <c r="I103" s="25"/>
      <c r="J103" s="26"/>
      <c r="K103" s="27"/>
      <c r="L103" s="28"/>
      <c r="M103" s="27"/>
      <c r="N103" s="26"/>
      <c r="O103" s="285">
        <v>346660.89</v>
      </c>
      <c r="P103" s="62"/>
      <c r="Q103" s="293"/>
    </row>
    <row r="104" spans="1:18" s="29" customFormat="1" ht="12.75">
      <c r="A104" s="23" t="s">
        <v>29</v>
      </c>
      <c r="B104" s="72" t="s">
        <v>170</v>
      </c>
      <c r="C104" s="299">
        <v>70728</v>
      </c>
      <c r="D104" s="299"/>
      <c r="E104" s="25">
        <v>7135</v>
      </c>
      <c r="F104" s="26"/>
      <c r="G104" s="27"/>
      <c r="H104" s="28"/>
      <c r="I104" s="25"/>
      <c r="J104" s="26"/>
      <c r="K104" s="27"/>
      <c r="L104" s="28"/>
      <c r="M104" s="27"/>
      <c r="N104" s="26"/>
      <c r="O104" s="285">
        <v>77863</v>
      </c>
      <c r="P104" s="62"/>
      <c r="Q104" s="293"/>
      <c r="R104" s="29">
        <f>O105/2</f>
        <v>46349.355</v>
      </c>
    </row>
    <row r="105" spans="1:17" s="29" customFormat="1" ht="12.75">
      <c r="A105" s="23" t="s">
        <v>194</v>
      </c>
      <c r="B105" s="72" t="s">
        <v>196</v>
      </c>
      <c r="C105" s="299">
        <v>76470.73000000001</v>
      </c>
      <c r="D105" s="299"/>
      <c r="E105" s="25">
        <v>16227.98</v>
      </c>
      <c r="F105" s="26"/>
      <c r="G105" s="27"/>
      <c r="H105" s="28"/>
      <c r="I105" s="25"/>
      <c r="J105" s="26"/>
      <c r="K105" s="27"/>
      <c r="L105" s="28"/>
      <c r="M105" s="27"/>
      <c r="N105" s="26"/>
      <c r="O105" s="285">
        <v>92698.71</v>
      </c>
      <c r="P105" s="62"/>
      <c r="Q105" s="293"/>
    </row>
    <row r="106" spans="1:17" s="29" customFormat="1" ht="12.75">
      <c r="A106" s="23" t="s">
        <v>195</v>
      </c>
      <c r="B106" s="72" t="s">
        <v>197</v>
      </c>
      <c r="C106" s="299">
        <v>9369.05</v>
      </c>
      <c r="D106" s="299"/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285">
        <v>9369.05</v>
      </c>
      <c r="P106" s="62"/>
      <c r="Q106" s="293"/>
    </row>
    <row r="107" spans="1:17" s="29" customFormat="1" ht="12.75">
      <c r="A107" s="23" t="s">
        <v>171</v>
      </c>
      <c r="B107" s="72" t="s">
        <v>172</v>
      </c>
      <c r="C107" s="299">
        <v>48015.69</v>
      </c>
      <c r="D107" s="299"/>
      <c r="E107" s="25">
        <v>6794.52</v>
      </c>
      <c r="F107" s="26"/>
      <c r="G107" s="27"/>
      <c r="H107" s="28"/>
      <c r="I107" s="25"/>
      <c r="J107" s="26"/>
      <c r="K107" s="27"/>
      <c r="L107" s="28"/>
      <c r="M107" s="27"/>
      <c r="N107" s="26"/>
      <c r="O107" s="285">
        <v>54810.21000000001</v>
      </c>
      <c r="P107" s="62"/>
      <c r="Q107" s="293"/>
    </row>
    <row r="108" spans="1:17" s="29" customFormat="1" ht="12.75">
      <c r="A108" s="23" t="s">
        <v>51</v>
      </c>
      <c r="B108" s="72" t="s">
        <v>173</v>
      </c>
      <c r="C108" s="299">
        <v>17800</v>
      </c>
      <c r="D108" s="299"/>
      <c r="E108" s="25">
        <v>1800</v>
      </c>
      <c r="F108" s="26"/>
      <c r="G108" s="27"/>
      <c r="H108" s="28"/>
      <c r="I108" s="25"/>
      <c r="J108" s="26"/>
      <c r="K108" s="27"/>
      <c r="L108" s="28"/>
      <c r="M108" s="27"/>
      <c r="N108" s="26"/>
      <c r="O108" s="285">
        <v>19600</v>
      </c>
      <c r="P108" s="62"/>
      <c r="Q108" s="293"/>
    </row>
    <row r="109" spans="1:17" s="29" customFormat="1" ht="12.75">
      <c r="A109" s="23" t="s">
        <v>539</v>
      </c>
      <c r="B109" s="72" t="s">
        <v>538</v>
      </c>
      <c r="C109" s="299">
        <v>0</v>
      </c>
      <c r="D109" s="299"/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285">
        <v>0</v>
      </c>
      <c r="P109" s="62"/>
      <c r="Q109" s="293"/>
    </row>
    <row r="110" spans="1:17" s="29" customFormat="1" ht="12.75">
      <c r="A110" s="23" t="s">
        <v>193</v>
      </c>
      <c r="B110" s="72" t="s">
        <v>190</v>
      </c>
      <c r="C110" s="299">
        <v>73333.36</v>
      </c>
      <c r="D110" s="299"/>
      <c r="E110" s="25">
        <v>9166.67</v>
      </c>
      <c r="F110" s="26"/>
      <c r="G110" s="27"/>
      <c r="H110" s="28"/>
      <c r="I110" s="25"/>
      <c r="J110" s="26"/>
      <c r="K110" s="27"/>
      <c r="L110" s="28"/>
      <c r="M110" s="27"/>
      <c r="N110" s="26"/>
      <c r="O110" s="285">
        <v>82500.03</v>
      </c>
      <c r="P110" s="62"/>
      <c r="Q110" s="293"/>
    </row>
    <row r="111" spans="1:17" s="29" customFormat="1" ht="12.75">
      <c r="A111" s="23" t="s">
        <v>71</v>
      </c>
      <c r="B111" s="72" t="s">
        <v>178</v>
      </c>
      <c r="C111" s="299">
        <v>900</v>
      </c>
      <c r="D111" s="299"/>
      <c r="E111" s="25"/>
      <c r="F111" s="26"/>
      <c r="G111" s="27"/>
      <c r="H111" s="28"/>
      <c r="I111" s="25"/>
      <c r="J111" s="26"/>
      <c r="K111" s="27"/>
      <c r="L111" s="28"/>
      <c r="M111" s="27"/>
      <c r="N111" s="26"/>
      <c r="O111" s="285">
        <v>900</v>
      </c>
      <c r="P111" s="62"/>
      <c r="Q111" s="293"/>
    </row>
    <row r="112" spans="1:17" s="29" customFormat="1" ht="12.75">
      <c r="A112" s="23" t="s">
        <v>30</v>
      </c>
      <c r="B112" s="72" t="s">
        <v>179</v>
      </c>
      <c r="C112" s="299">
        <v>0</v>
      </c>
      <c r="D112" s="299"/>
      <c r="E112" s="25"/>
      <c r="F112" s="26"/>
      <c r="G112" s="27"/>
      <c r="H112" s="28"/>
      <c r="I112" s="25"/>
      <c r="J112" s="26"/>
      <c r="K112" s="27"/>
      <c r="L112" s="28"/>
      <c r="M112" s="27"/>
      <c r="N112" s="26"/>
      <c r="O112" s="285">
        <v>0</v>
      </c>
      <c r="P112" s="62"/>
      <c r="Q112" s="293"/>
    </row>
    <row r="113" spans="1:17" s="29" customFormat="1" ht="12.75">
      <c r="A113" s="23" t="s">
        <v>198</v>
      </c>
      <c r="B113" s="72" t="s">
        <v>199</v>
      </c>
      <c r="C113" s="299">
        <v>37333.33</v>
      </c>
      <c r="D113" s="299"/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285">
        <v>37333.33</v>
      </c>
      <c r="P113" s="62"/>
      <c r="Q113" s="293"/>
    </row>
    <row r="114" spans="1:17" s="29" customFormat="1" ht="12.75">
      <c r="A114" s="23" t="s">
        <v>72</v>
      </c>
      <c r="B114" s="72" t="s">
        <v>182</v>
      </c>
      <c r="C114" s="299">
        <v>14600</v>
      </c>
      <c r="D114" s="299"/>
      <c r="E114" s="25"/>
      <c r="F114" s="26"/>
      <c r="G114" s="27"/>
      <c r="H114" s="28"/>
      <c r="I114" s="25"/>
      <c r="J114" s="26"/>
      <c r="K114" s="27"/>
      <c r="L114" s="28"/>
      <c r="M114" s="27"/>
      <c r="N114" s="26"/>
      <c r="O114" s="285">
        <v>14600</v>
      </c>
      <c r="P114" s="62"/>
      <c r="Q114" s="293"/>
    </row>
    <row r="115" spans="1:17" s="29" customFormat="1" ht="12.75">
      <c r="A115" s="23" t="s">
        <v>65</v>
      </c>
      <c r="B115" s="72" t="s">
        <v>183</v>
      </c>
      <c r="C115" s="299">
        <v>0</v>
      </c>
      <c r="D115" s="299"/>
      <c r="E115" s="25"/>
      <c r="F115" s="26"/>
      <c r="G115" s="27"/>
      <c r="H115" s="28"/>
      <c r="I115" s="25"/>
      <c r="J115" s="26"/>
      <c r="K115" s="27"/>
      <c r="L115" s="28"/>
      <c r="M115" s="27"/>
      <c r="N115" s="26"/>
      <c r="O115" s="285">
        <v>0</v>
      </c>
      <c r="P115" s="62"/>
      <c r="Q115" s="293"/>
    </row>
    <row r="116" spans="1:17" s="29" customFormat="1" ht="12.75">
      <c r="A116" s="23" t="s">
        <v>180</v>
      </c>
      <c r="B116" s="72" t="s">
        <v>181</v>
      </c>
      <c r="C116" s="299">
        <v>475050.7100000001</v>
      </c>
      <c r="D116" s="299"/>
      <c r="E116" s="25">
        <v>111169.74</v>
      </c>
      <c r="F116" s="26"/>
      <c r="G116" s="27"/>
      <c r="H116" s="28"/>
      <c r="I116" s="25"/>
      <c r="J116" s="26"/>
      <c r="K116" s="27"/>
      <c r="L116" s="28"/>
      <c r="M116" s="27"/>
      <c r="N116" s="26"/>
      <c r="O116" s="285">
        <v>586220.4500000001</v>
      </c>
      <c r="P116" s="62"/>
      <c r="Q116" s="293"/>
    </row>
    <row r="117" spans="1:17" s="29" customFormat="1" ht="12.75">
      <c r="A117" s="23" t="s">
        <v>184</v>
      </c>
      <c r="B117" s="72" t="s">
        <v>185</v>
      </c>
      <c r="C117" s="299">
        <v>51468</v>
      </c>
      <c r="D117" s="299"/>
      <c r="E117" s="25"/>
      <c r="F117" s="26"/>
      <c r="G117" s="27"/>
      <c r="H117" s="28"/>
      <c r="I117" s="25"/>
      <c r="J117" s="26"/>
      <c r="K117" s="27"/>
      <c r="L117" s="28"/>
      <c r="M117" s="27"/>
      <c r="N117" s="26"/>
      <c r="O117" s="285">
        <v>51468</v>
      </c>
      <c r="P117" s="62"/>
      <c r="Q117" s="293"/>
    </row>
    <row r="118" spans="1:17" s="29" customFormat="1" ht="12.75">
      <c r="A118" s="23" t="s">
        <v>186</v>
      </c>
      <c r="B118" s="72" t="s">
        <v>204</v>
      </c>
      <c r="C118" s="299">
        <v>0</v>
      </c>
      <c r="D118" s="299"/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285">
        <v>0</v>
      </c>
      <c r="P118" s="62"/>
      <c r="Q118" s="293"/>
    </row>
    <row r="119" spans="1:17" s="29" customFormat="1" ht="12.75">
      <c r="A119" s="23" t="s">
        <v>219</v>
      </c>
      <c r="B119" s="72" t="s">
        <v>205</v>
      </c>
      <c r="C119" s="299">
        <v>54050</v>
      </c>
      <c r="D119" s="299"/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285">
        <v>54050</v>
      </c>
      <c r="P119" s="62"/>
      <c r="Q119" s="293"/>
    </row>
    <row r="120" spans="1:17" s="29" customFormat="1" ht="12.75">
      <c r="A120" s="23" t="s">
        <v>220</v>
      </c>
      <c r="B120" s="72" t="s">
        <v>206</v>
      </c>
      <c r="C120" s="299">
        <v>1200</v>
      </c>
      <c r="D120" s="299"/>
      <c r="E120" s="25"/>
      <c r="F120" s="26"/>
      <c r="G120" s="27"/>
      <c r="H120" s="28"/>
      <c r="I120" s="25"/>
      <c r="J120" s="26"/>
      <c r="K120" s="27"/>
      <c r="L120" s="28"/>
      <c r="M120" s="27"/>
      <c r="N120" s="26"/>
      <c r="O120" s="285">
        <v>1200</v>
      </c>
      <c r="P120" s="62"/>
      <c r="Q120" s="293"/>
    </row>
    <row r="121" spans="1:17" s="29" customFormat="1" ht="12.75">
      <c r="A121" s="23" t="s">
        <v>584</v>
      </c>
      <c r="B121" s="72" t="s">
        <v>585</v>
      </c>
      <c r="C121" s="299">
        <v>1300</v>
      </c>
      <c r="D121" s="299"/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285">
        <v>1300</v>
      </c>
      <c r="P121" s="62"/>
      <c r="Q121" s="293"/>
    </row>
    <row r="122" spans="1:17" s="29" customFormat="1" ht="12.75">
      <c r="A122" s="23" t="s">
        <v>188</v>
      </c>
      <c r="B122" s="72" t="s">
        <v>189</v>
      </c>
      <c r="C122" s="299">
        <v>0</v>
      </c>
      <c r="D122" s="299"/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285">
        <v>0</v>
      </c>
      <c r="P122" s="62"/>
      <c r="Q122" s="293"/>
    </row>
    <row r="123" spans="1:17" s="29" customFormat="1" ht="12.75">
      <c r="A123" s="23" t="s">
        <v>229</v>
      </c>
      <c r="B123" s="72" t="s">
        <v>227</v>
      </c>
      <c r="C123" s="299">
        <v>251940.63</v>
      </c>
      <c r="D123" s="299"/>
      <c r="E123" s="25">
        <v>18880</v>
      </c>
      <c r="F123" s="26"/>
      <c r="G123" s="27"/>
      <c r="H123" s="28"/>
      <c r="I123" s="25"/>
      <c r="J123" s="26"/>
      <c r="K123" s="27"/>
      <c r="L123" s="28"/>
      <c r="M123" s="27"/>
      <c r="N123" s="26"/>
      <c r="O123" s="285">
        <v>270820.63</v>
      </c>
      <c r="P123" s="62"/>
      <c r="Q123" s="293"/>
    </row>
    <row r="124" spans="1:17" s="29" customFormat="1" ht="12.75">
      <c r="A124" s="23" t="s">
        <v>64</v>
      </c>
      <c r="B124" s="72" t="s">
        <v>187</v>
      </c>
      <c r="C124" s="299">
        <v>170</v>
      </c>
      <c r="D124" s="299"/>
      <c r="E124" s="25"/>
      <c r="F124" s="26"/>
      <c r="G124" s="27"/>
      <c r="H124" s="28"/>
      <c r="I124" s="25"/>
      <c r="J124" s="26"/>
      <c r="K124" s="27"/>
      <c r="L124" s="28"/>
      <c r="M124" s="27"/>
      <c r="N124" s="26"/>
      <c r="O124" s="285">
        <v>170</v>
      </c>
      <c r="P124" s="62"/>
      <c r="Q124" s="293"/>
    </row>
    <row r="125" spans="1:17" s="29" customFormat="1" ht="12.75">
      <c r="A125" s="23" t="s">
        <v>587</v>
      </c>
      <c r="B125" s="72" t="s">
        <v>586</v>
      </c>
      <c r="C125" s="299">
        <v>24017</v>
      </c>
      <c r="D125" s="299"/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285">
        <v>24017</v>
      </c>
      <c r="P125" s="62"/>
      <c r="Q125" s="293"/>
    </row>
    <row r="126" spans="1:17" s="29" customFormat="1" ht="12.75">
      <c r="A126" s="23" t="s">
        <v>403</v>
      </c>
      <c r="B126" s="305" t="s">
        <v>632</v>
      </c>
      <c r="C126" s="92">
        <v>17000000</v>
      </c>
      <c r="D126" s="299"/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285">
        <v>17000000</v>
      </c>
      <c r="P126" s="62"/>
      <c r="Q126" s="293"/>
    </row>
    <row r="127" spans="1:17" s="29" customFormat="1" ht="12.75">
      <c r="A127" s="23" t="s">
        <v>233</v>
      </c>
      <c r="B127" s="72" t="s">
        <v>232</v>
      </c>
      <c r="C127" s="299">
        <v>103689643.10999998</v>
      </c>
      <c r="D127" s="299"/>
      <c r="E127" s="25">
        <v>44447468.32</v>
      </c>
      <c r="F127" s="26"/>
      <c r="G127" s="27"/>
      <c r="H127" s="28"/>
      <c r="I127" s="25"/>
      <c r="J127" s="26"/>
      <c r="K127" s="27"/>
      <c r="L127" s="28"/>
      <c r="M127" s="27"/>
      <c r="N127" s="26"/>
      <c r="O127" s="285">
        <v>148137111.42999998</v>
      </c>
      <c r="P127" s="62"/>
      <c r="Q127" s="293"/>
    </row>
    <row r="128" spans="1:17" s="29" customFormat="1" ht="12.75">
      <c r="A128" s="23" t="s">
        <v>69</v>
      </c>
      <c r="B128" s="72" t="s">
        <v>191</v>
      </c>
      <c r="C128" s="299">
        <v>45375</v>
      </c>
      <c r="D128" s="299"/>
      <c r="E128" s="25">
        <v>3375</v>
      </c>
      <c r="F128" s="26"/>
      <c r="G128" s="27"/>
      <c r="H128" s="28"/>
      <c r="I128" s="25"/>
      <c r="J128" s="26"/>
      <c r="K128" s="27"/>
      <c r="L128" s="28"/>
      <c r="M128" s="27"/>
      <c r="N128" s="26"/>
      <c r="O128" s="285">
        <v>48750</v>
      </c>
      <c r="P128" s="62"/>
      <c r="Q128" s="293"/>
    </row>
    <row r="129" spans="1:17" s="29" customFormat="1" ht="12.75">
      <c r="A129" s="23" t="s">
        <v>211</v>
      </c>
      <c r="B129" s="72" t="s">
        <v>212</v>
      </c>
      <c r="C129" s="299">
        <v>0</v>
      </c>
      <c r="D129" s="299"/>
      <c r="E129" s="25"/>
      <c r="F129" s="26"/>
      <c r="G129" s="27"/>
      <c r="H129" s="28"/>
      <c r="I129" s="25"/>
      <c r="J129" s="26"/>
      <c r="K129" s="27"/>
      <c r="L129" s="28"/>
      <c r="M129" s="27"/>
      <c r="N129" s="26"/>
      <c r="O129" s="285">
        <v>0</v>
      </c>
      <c r="P129" s="62"/>
      <c r="Q129" s="293"/>
    </row>
    <row r="130" spans="1:17" s="29" customFormat="1" ht="12.75">
      <c r="A130" s="23" t="s">
        <v>540</v>
      </c>
      <c r="B130" s="72" t="s">
        <v>523</v>
      </c>
      <c r="C130" s="299">
        <v>0</v>
      </c>
      <c r="D130" s="299"/>
      <c r="E130" s="25"/>
      <c r="F130" s="26"/>
      <c r="G130" s="27"/>
      <c r="H130" s="28"/>
      <c r="I130" s="25"/>
      <c r="J130" s="26"/>
      <c r="K130" s="27"/>
      <c r="L130" s="28"/>
      <c r="M130" s="27"/>
      <c r="N130" s="26"/>
      <c r="O130" s="285">
        <v>0</v>
      </c>
      <c r="P130" s="62"/>
      <c r="Q130" s="293"/>
    </row>
    <row r="131" spans="1:17" s="29" customFormat="1" ht="12.75">
      <c r="A131" s="23" t="s">
        <v>73</v>
      </c>
      <c r="B131" s="72" t="s">
        <v>192</v>
      </c>
      <c r="C131" s="299">
        <v>9746.7</v>
      </c>
      <c r="D131" s="299"/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285">
        <v>9746.7</v>
      </c>
      <c r="P131" s="62"/>
      <c r="Q131" s="293"/>
    </row>
    <row r="132" spans="1:17" s="29" customFormat="1" ht="12.75">
      <c r="A132" s="23" t="s">
        <v>38</v>
      </c>
      <c r="B132" s="72" t="s">
        <v>175</v>
      </c>
      <c r="C132" s="299">
        <v>3000</v>
      </c>
      <c r="D132" s="299"/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285">
        <v>3000</v>
      </c>
      <c r="P132" s="62"/>
      <c r="Q132" s="293"/>
    </row>
    <row r="133" spans="1:17" s="29" customFormat="1" ht="12.75">
      <c r="A133" s="23" t="s">
        <v>62</v>
      </c>
      <c r="B133" s="72" t="s">
        <v>176</v>
      </c>
      <c r="C133" s="299">
        <v>120241.78</v>
      </c>
      <c r="D133" s="299"/>
      <c r="E133" s="25">
        <v>1680</v>
      </c>
      <c r="F133" s="26"/>
      <c r="G133" s="27"/>
      <c r="H133" s="28"/>
      <c r="I133" s="25"/>
      <c r="J133" s="26"/>
      <c r="K133" s="27"/>
      <c r="L133" s="28"/>
      <c r="M133" s="27">
        <v>1702.78</v>
      </c>
      <c r="N133" s="26"/>
      <c r="O133" s="285">
        <v>123624.56</v>
      </c>
      <c r="P133" s="62"/>
      <c r="Q133" s="293"/>
    </row>
    <row r="134" spans="1:17" s="29" customFormat="1" ht="12.75">
      <c r="A134" s="23" t="s">
        <v>63</v>
      </c>
      <c r="B134" s="72" t="s">
        <v>177</v>
      </c>
      <c r="C134" s="299">
        <v>150275.1</v>
      </c>
      <c r="D134" s="299"/>
      <c r="E134" s="25">
        <v>300</v>
      </c>
      <c r="F134" s="26"/>
      <c r="G134" s="27"/>
      <c r="H134" s="28"/>
      <c r="I134" s="25"/>
      <c r="J134" s="26"/>
      <c r="K134" s="27"/>
      <c r="L134" s="28"/>
      <c r="M134" s="27"/>
      <c r="N134" s="26"/>
      <c r="O134" s="285">
        <v>150575.1</v>
      </c>
      <c r="P134" s="62"/>
      <c r="Q134" s="293"/>
    </row>
    <row r="135" spans="1:17" s="29" customFormat="1" ht="12.75">
      <c r="A135" s="23" t="s">
        <v>560</v>
      </c>
      <c r="B135" s="72" t="s">
        <v>561</v>
      </c>
      <c r="C135" s="299">
        <v>0</v>
      </c>
      <c r="D135" s="299"/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285">
        <v>0</v>
      </c>
      <c r="P135" s="62"/>
      <c r="Q135" s="293"/>
    </row>
    <row r="136" spans="1:17" s="29" customFormat="1" ht="12.75">
      <c r="A136" s="23" t="s">
        <v>53</v>
      </c>
      <c r="B136" s="72" t="s">
        <v>528</v>
      </c>
      <c r="C136" s="299">
        <v>238352.96</v>
      </c>
      <c r="D136" s="299"/>
      <c r="E136" s="25">
        <v>127372.56</v>
      </c>
      <c r="F136" s="26"/>
      <c r="G136" s="27"/>
      <c r="H136" s="28"/>
      <c r="I136" s="25"/>
      <c r="J136" s="26"/>
      <c r="K136" s="27"/>
      <c r="L136" s="28"/>
      <c r="M136" s="27"/>
      <c r="N136" s="26"/>
      <c r="O136" s="285">
        <v>365725.52</v>
      </c>
      <c r="P136" s="62"/>
      <c r="Q136" s="293"/>
    </row>
    <row r="137" spans="1:17" s="29" customFormat="1" ht="12.75">
      <c r="A137" s="23" t="s">
        <v>68</v>
      </c>
      <c r="B137" s="72" t="s">
        <v>174</v>
      </c>
      <c r="C137" s="299">
        <v>0</v>
      </c>
      <c r="D137" s="299"/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285">
        <v>0</v>
      </c>
      <c r="P137" s="62"/>
      <c r="Q137" s="293"/>
    </row>
    <row r="138" spans="1:17" s="29" customFormat="1" ht="12.75">
      <c r="A138" s="23" t="s">
        <v>244</v>
      </c>
      <c r="B138" s="72" t="s">
        <v>237</v>
      </c>
      <c r="C138" s="299">
        <v>0</v>
      </c>
      <c r="D138" s="299"/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285">
        <v>0</v>
      </c>
      <c r="Q138" s="293"/>
    </row>
    <row r="139" spans="1:17" s="29" customFormat="1" ht="12.75">
      <c r="A139" s="23" t="s">
        <v>23</v>
      </c>
      <c r="B139" s="72" t="s">
        <v>524</v>
      </c>
      <c r="C139" s="299">
        <v>866360.54</v>
      </c>
      <c r="D139" s="299"/>
      <c r="E139" s="25">
        <v>9454.2</v>
      </c>
      <c r="F139" s="26"/>
      <c r="G139" s="27"/>
      <c r="H139" s="28"/>
      <c r="I139" s="25"/>
      <c r="J139" s="26"/>
      <c r="K139" s="27"/>
      <c r="L139" s="28"/>
      <c r="M139" s="27"/>
      <c r="N139" s="26"/>
      <c r="O139" s="285">
        <v>875814.74</v>
      </c>
      <c r="P139" s="62"/>
      <c r="Q139" s="293"/>
    </row>
    <row r="140" spans="1:17" s="29" customFormat="1" ht="12.75">
      <c r="A140" s="23" t="s">
        <v>245</v>
      </c>
      <c r="B140" s="72" t="s">
        <v>525</v>
      </c>
      <c r="C140" s="299">
        <v>3326</v>
      </c>
      <c r="D140" s="299"/>
      <c r="E140" s="25"/>
      <c r="F140" s="26"/>
      <c r="G140" s="27"/>
      <c r="H140" s="28"/>
      <c r="I140" s="25"/>
      <c r="J140" s="26"/>
      <c r="K140" s="27"/>
      <c r="L140" s="28"/>
      <c r="M140" s="27"/>
      <c r="N140" s="26"/>
      <c r="O140" s="285">
        <v>3326</v>
      </c>
      <c r="Q140" s="293"/>
    </row>
    <row r="141" spans="1:17" s="29" customFormat="1" ht="12.75">
      <c r="A141" s="23"/>
      <c r="B141" s="24"/>
      <c r="C141" s="299"/>
      <c r="D141" s="92"/>
      <c r="E141" s="25"/>
      <c r="F141" s="25"/>
      <c r="G141" s="27"/>
      <c r="H141" s="62"/>
      <c r="I141" s="25"/>
      <c r="J141" s="25"/>
      <c r="K141" s="27"/>
      <c r="L141" s="62"/>
      <c r="M141" s="27"/>
      <c r="N141" s="25"/>
      <c r="O141" s="285"/>
      <c r="Q141" s="324"/>
    </row>
    <row r="142" spans="1:17" s="29" customFormat="1" ht="12.75">
      <c r="A142" s="23"/>
      <c r="B142" s="24"/>
      <c r="C142" s="299"/>
      <c r="D142" s="92"/>
      <c r="E142" s="25"/>
      <c r="F142" s="25"/>
      <c r="G142" s="27"/>
      <c r="H142" s="62"/>
      <c r="I142" s="25"/>
      <c r="J142" s="25"/>
      <c r="K142" s="27"/>
      <c r="L142" s="62"/>
      <c r="M142" s="27"/>
      <c r="N142" s="25"/>
      <c r="O142" s="285"/>
      <c r="Q142" s="324"/>
    </row>
    <row r="143" spans="1:17" s="29" customFormat="1" ht="12.75">
      <c r="A143" s="23"/>
      <c r="B143" s="24"/>
      <c r="C143" s="299"/>
      <c r="D143" s="92"/>
      <c r="E143" s="25"/>
      <c r="F143" s="25"/>
      <c r="G143" s="27"/>
      <c r="H143" s="62"/>
      <c r="I143" s="25"/>
      <c r="J143" s="25"/>
      <c r="K143" s="27"/>
      <c r="L143" s="62"/>
      <c r="M143" s="27"/>
      <c r="N143" s="25"/>
      <c r="O143" s="285"/>
      <c r="Q143" s="324"/>
    </row>
    <row r="144" spans="1:17" s="29" customFormat="1" ht="12.75">
      <c r="A144" s="23"/>
      <c r="B144" s="24"/>
      <c r="C144" s="299"/>
      <c r="D144" s="92"/>
      <c r="E144" s="25"/>
      <c r="F144" s="25"/>
      <c r="G144" s="27"/>
      <c r="H144" s="62"/>
      <c r="I144" s="25"/>
      <c r="J144" s="25"/>
      <c r="K144" s="27"/>
      <c r="L144" s="62"/>
      <c r="M144" s="27"/>
      <c r="N144" s="25"/>
      <c r="O144" s="285"/>
      <c r="Q144" s="324"/>
    </row>
    <row r="145" spans="1:17" s="29" customFormat="1" ht="12.75">
      <c r="A145" s="23"/>
      <c r="B145" s="24"/>
      <c r="C145" s="299"/>
      <c r="D145" s="92"/>
      <c r="E145" s="25"/>
      <c r="F145" s="25"/>
      <c r="G145" s="27"/>
      <c r="H145" s="62"/>
      <c r="I145" s="25"/>
      <c r="J145" s="25"/>
      <c r="K145" s="27"/>
      <c r="L145" s="62"/>
      <c r="M145" s="27"/>
      <c r="N145" s="25"/>
      <c r="O145" s="285"/>
      <c r="Q145" s="324"/>
    </row>
    <row r="146" spans="1:17" s="29" customFormat="1" ht="12.75">
      <c r="A146" s="23"/>
      <c r="B146" s="24"/>
      <c r="C146" s="299"/>
      <c r="D146" s="92"/>
      <c r="E146" s="25"/>
      <c r="F146" s="25"/>
      <c r="G146" s="27"/>
      <c r="H146" s="62"/>
      <c r="I146" s="25"/>
      <c r="J146" s="25"/>
      <c r="K146" s="27"/>
      <c r="L146" s="62"/>
      <c r="M146" s="27"/>
      <c r="N146" s="25"/>
      <c r="O146" s="285"/>
      <c r="Q146" s="324"/>
    </row>
    <row r="147" spans="1:16" s="29" customFormat="1" ht="12.75">
      <c r="A147" s="5"/>
      <c r="B147" s="24"/>
      <c r="C147" s="299"/>
      <c r="D147" s="62"/>
      <c r="E147" s="63"/>
      <c r="F147" s="25"/>
      <c r="G147" s="61"/>
      <c r="H147" s="62"/>
      <c r="I147" s="63"/>
      <c r="J147" s="25"/>
      <c r="K147" s="61"/>
      <c r="L147" s="62"/>
      <c r="M147" s="61"/>
      <c r="N147" s="25"/>
      <c r="O147" s="285"/>
      <c r="P147" s="62"/>
    </row>
    <row r="148" spans="1:16" s="29" customFormat="1" ht="13.5" thickBot="1">
      <c r="A148" s="5"/>
      <c r="B148" s="24"/>
      <c r="C148" s="299"/>
      <c r="D148" s="62"/>
      <c r="E148" s="63"/>
      <c r="F148" s="25"/>
      <c r="G148" s="61"/>
      <c r="H148" s="62"/>
      <c r="I148" s="63"/>
      <c r="J148" s="25"/>
      <c r="K148" s="61"/>
      <c r="L148" s="62"/>
      <c r="M148" s="61"/>
      <c r="N148" s="25"/>
      <c r="O148" s="285"/>
      <c r="P148" s="62"/>
    </row>
    <row r="149" spans="1:16" s="29" customFormat="1" ht="13.5" thickBot="1">
      <c r="A149" s="123" t="s">
        <v>24</v>
      </c>
      <c r="B149" s="124"/>
      <c r="C149" s="313">
        <f>SUM(C14:C148)</f>
        <v>212900237.13</v>
      </c>
      <c r="D149" s="314">
        <f aca="true" t="shared" si="0" ref="D149:N149">SUM(D14:D140)</f>
        <v>212900237.13000003</v>
      </c>
      <c r="E149" s="125">
        <f t="shared" si="0"/>
        <v>50297052.46000001</v>
      </c>
      <c r="F149" s="126">
        <f t="shared" si="0"/>
        <v>50297052.46</v>
      </c>
      <c r="G149" s="125">
        <f t="shared" si="0"/>
        <v>85190</v>
      </c>
      <c r="H149" s="126">
        <f t="shared" si="0"/>
        <v>85190</v>
      </c>
      <c r="I149" s="125">
        <f t="shared" si="0"/>
        <v>0</v>
      </c>
      <c r="J149" s="126">
        <f t="shared" si="0"/>
        <v>0</v>
      </c>
      <c r="K149" s="125">
        <f t="shared" si="0"/>
        <v>0</v>
      </c>
      <c r="L149" s="126">
        <f t="shared" si="0"/>
        <v>0</v>
      </c>
      <c r="M149" s="125">
        <f t="shared" si="0"/>
        <v>12619574.48</v>
      </c>
      <c r="N149" s="127">
        <f t="shared" si="0"/>
        <v>12619574.48</v>
      </c>
      <c r="O149" s="128">
        <f>SUM(O14:O148)</f>
        <v>225076385.64</v>
      </c>
      <c r="P149" s="129">
        <f>SUM(P14:P148)</f>
        <v>225076385.64</v>
      </c>
    </row>
    <row r="150" spans="1:16" s="29" customFormat="1" ht="12.75">
      <c r="A150" s="30"/>
      <c r="B150" s="30"/>
      <c r="C150" s="32"/>
      <c r="D150" s="32">
        <f>C149-D149</f>
        <v>0</v>
      </c>
      <c r="E150" s="30"/>
      <c r="F150" s="31">
        <f>E149-F149</f>
        <v>0</v>
      </c>
      <c r="G150" s="30"/>
      <c r="H150" s="31">
        <f>G149-H149</f>
        <v>0</v>
      </c>
      <c r="I150" s="30"/>
      <c r="J150" s="31">
        <f>I149-J149</f>
        <v>0</v>
      </c>
      <c r="K150" s="30"/>
      <c r="L150" s="31">
        <f>K149-L149</f>
        <v>0</v>
      </c>
      <c r="M150" s="30"/>
      <c r="N150" s="31">
        <f>M149-N149</f>
        <v>0</v>
      </c>
      <c r="O150" s="30"/>
      <c r="P150" s="31">
        <f>O149-P149</f>
        <v>0</v>
      </c>
    </row>
    <row r="151" spans="1:16" s="29" customFormat="1" ht="12.75">
      <c r="A151" s="30"/>
      <c r="B151" s="30"/>
      <c r="C151" s="32"/>
      <c r="D151" s="32"/>
      <c r="E151" s="30"/>
      <c r="F151" s="31"/>
      <c r="G151" s="30"/>
      <c r="H151" s="31"/>
      <c r="I151" s="30"/>
      <c r="J151" s="31"/>
      <c r="K151" s="30"/>
      <c r="L151" s="31"/>
      <c r="M151" s="30"/>
      <c r="N151" s="31"/>
      <c r="O151" s="30"/>
      <c r="P151" s="31"/>
    </row>
    <row r="152" spans="1:16" s="29" customFormat="1" ht="12.75">
      <c r="A152" s="16" t="s">
        <v>25</v>
      </c>
      <c r="B152" s="1"/>
      <c r="C152" s="32"/>
      <c r="D152" s="3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 t="s">
        <v>55</v>
      </c>
      <c r="P152" s="30"/>
    </row>
    <row r="153" spans="1:16" s="29" customFormat="1" ht="12.75">
      <c r="A153" s="16"/>
      <c r="B153" s="1"/>
      <c r="C153" s="32"/>
      <c r="D153" s="3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99"/>
      <c r="P153" s="30"/>
    </row>
    <row r="154" spans="1:16" s="29" customFormat="1" ht="12.75">
      <c r="A154" s="16"/>
      <c r="B154" s="1"/>
      <c r="C154" s="32"/>
      <c r="D154" s="3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00"/>
      <c r="P154" s="30"/>
    </row>
    <row r="155" spans="1:16" s="29" customFormat="1" ht="12.75">
      <c r="A155" s="17" t="s">
        <v>222</v>
      </c>
      <c r="B155" s="1"/>
      <c r="C155" s="32"/>
      <c r="D155" s="32"/>
      <c r="G155" s="1"/>
      <c r="H155" s="1"/>
      <c r="I155" s="1"/>
      <c r="J155" s="1"/>
      <c r="K155" s="1"/>
      <c r="L155" s="1"/>
      <c r="M155" s="1"/>
      <c r="N155" s="1"/>
      <c r="O155" s="20" t="s">
        <v>628</v>
      </c>
      <c r="P155" s="30"/>
    </row>
    <row r="156" spans="1:16" s="288" customFormat="1" ht="12.75">
      <c r="A156" s="286" t="s">
        <v>630</v>
      </c>
      <c r="B156" s="286"/>
      <c r="C156" s="315"/>
      <c r="D156" s="315"/>
      <c r="G156" s="286"/>
      <c r="H156" s="286"/>
      <c r="I156" s="286"/>
      <c r="J156" s="286"/>
      <c r="K156" s="286"/>
      <c r="L156" s="286"/>
      <c r="M156" s="286"/>
      <c r="N156" s="286"/>
      <c r="O156" s="567" t="s">
        <v>629</v>
      </c>
      <c r="P156" s="567"/>
    </row>
    <row r="159" spans="1:6" ht="12.75">
      <c r="A159" s="291"/>
      <c r="B159" s="231"/>
      <c r="C159" s="92"/>
      <c r="D159" s="92"/>
      <c r="E159" s="29"/>
      <c r="F159" s="29"/>
    </row>
    <row r="160" spans="1:6" ht="12.75">
      <c r="A160" s="291"/>
      <c r="B160" s="231"/>
      <c r="C160" s="92"/>
      <c r="D160" s="92"/>
      <c r="E160" s="29"/>
      <c r="F160" s="29"/>
    </row>
    <row r="161" spans="1:6" ht="12.75">
      <c r="A161" s="29"/>
      <c r="B161" s="293"/>
      <c r="C161" s="92"/>
      <c r="D161" s="92"/>
      <c r="E161" s="29"/>
      <c r="F161" s="29"/>
    </row>
    <row r="162" spans="1:6" ht="12.75">
      <c r="A162" s="29"/>
      <c r="B162" s="293"/>
      <c r="C162" s="92"/>
      <c r="D162" s="92"/>
      <c r="E162" s="25"/>
      <c r="F162" s="307"/>
    </row>
    <row r="163" spans="1:6" ht="12.75">
      <c r="A163" s="29"/>
      <c r="B163" s="293"/>
      <c r="C163" s="92"/>
      <c r="D163" s="92"/>
      <c r="E163" s="25"/>
      <c r="F163" s="307"/>
    </row>
    <row r="164" spans="1:6" ht="12.75">
      <c r="A164" s="29"/>
      <c r="B164" s="293"/>
      <c r="C164" s="92"/>
      <c r="D164" s="92"/>
      <c r="E164" s="25"/>
      <c r="F164" s="307"/>
    </row>
    <row r="165" spans="1:6" ht="12.75">
      <c r="A165" s="29"/>
      <c r="B165" s="293"/>
      <c r="C165" s="92"/>
      <c r="D165" s="92"/>
      <c r="E165" s="25"/>
      <c r="F165" s="25"/>
    </row>
    <row r="166" spans="1:6" ht="12.75">
      <c r="A166" s="308"/>
      <c r="B166" s="309"/>
      <c r="C166" s="92"/>
      <c r="D166" s="92"/>
      <c r="E166" s="25"/>
      <c r="F166" s="25"/>
    </row>
    <row r="167" spans="1:6" ht="12.75">
      <c r="A167" s="29"/>
      <c r="B167" s="293"/>
      <c r="C167" s="92"/>
      <c r="D167" s="92"/>
      <c r="E167" s="25"/>
      <c r="F167" s="25"/>
    </row>
    <row r="168" spans="1:6" ht="12.75">
      <c r="A168" s="29"/>
      <c r="B168" s="293"/>
      <c r="C168" s="92"/>
      <c r="D168" s="92"/>
      <c r="E168" s="25"/>
      <c r="F168" s="25"/>
    </row>
    <row r="169" spans="1:6" ht="12.75">
      <c r="A169" s="29"/>
      <c r="B169" s="293"/>
      <c r="C169" s="92"/>
      <c r="D169" s="92"/>
      <c r="E169" s="25"/>
      <c r="F169" s="25"/>
    </row>
    <row r="170" spans="1:6" ht="12.75">
      <c r="A170" s="29"/>
      <c r="B170" s="293"/>
      <c r="C170" s="92"/>
      <c r="D170" s="92"/>
      <c r="E170" s="25"/>
      <c r="F170" s="25"/>
    </row>
    <row r="171" spans="1:6" ht="12.75">
      <c r="A171" s="29"/>
      <c r="B171" s="293"/>
      <c r="C171" s="92"/>
      <c r="D171" s="92"/>
      <c r="E171" s="25"/>
      <c r="F171" s="25"/>
    </row>
    <row r="172" spans="1:6" ht="12.75">
      <c r="A172" s="29"/>
      <c r="B172" s="293"/>
      <c r="C172" s="92"/>
      <c r="D172" s="92"/>
      <c r="E172" s="25"/>
      <c r="F172" s="25"/>
    </row>
    <row r="173" spans="1:6" ht="12.75">
      <c r="A173" s="29"/>
      <c r="B173" s="293"/>
      <c r="C173" s="92"/>
      <c r="D173" s="92"/>
      <c r="E173" s="25"/>
      <c r="F173" s="25"/>
    </row>
    <row r="174" spans="1:6" ht="12.75">
      <c r="A174" s="29"/>
      <c r="B174" s="293"/>
      <c r="C174" s="92"/>
      <c r="D174" s="92"/>
      <c r="E174" s="25"/>
      <c r="F174" s="25"/>
    </row>
    <row r="175" spans="1:6" ht="12.75">
      <c r="A175" s="29"/>
      <c r="B175" s="293"/>
      <c r="C175" s="92"/>
      <c r="D175" s="92"/>
      <c r="E175" s="25"/>
      <c r="F175" s="25"/>
    </row>
    <row r="176" spans="1:6" ht="12.75">
      <c r="A176" s="29"/>
      <c r="B176" s="293"/>
      <c r="C176" s="92"/>
      <c r="D176" s="92"/>
      <c r="E176" s="25"/>
      <c r="F176" s="25"/>
    </row>
    <row r="177" spans="1:6" ht="12.75">
      <c r="A177" s="29"/>
      <c r="B177" s="293"/>
      <c r="C177" s="92"/>
      <c r="D177" s="92"/>
      <c r="E177" s="25"/>
      <c r="F177" s="25"/>
    </row>
    <row r="178" spans="1:6" ht="12.75">
      <c r="A178" s="29"/>
      <c r="B178" s="293"/>
      <c r="C178" s="92"/>
      <c r="D178" s="92"/>
      <c r="E178" s="25"/>
      <c r="F178" s="25"/>
    </row>
    <row r="179" spans="1:6" ht="12.75">
      <c r="A179" s="29"/>
      <c r="B179" s="293"/>
      <c r="C179" s="92"/>
      <c r="D179" s="92"/>
      <c r="E179" s="25"/>
      <c r="F179" s="25"/>
    </row>
    <row r="180" spans="1:6" ht="12.75">
      <c r="A180" s="29"/>
      <c r="B180" s="293"/>
      <c r="C180" s="92"/>
      <c r="D180" s="92"/>
      <c r="E180" s="25"/>
      <c r="F180" s="25"/>
    </row>
    <row r="181" spans="1:6" ht="12.75">
      <c r="A181" s="29"/>
      <c r="B181" s="293"/>
      <c r="C181" s="92"/>
      <c r="D181" s="92"/>
      <c r="E181" s="25"/>
      <c r="F181" s="25"/>
    </row>
    <row r="182" spans="1:6" ht="12.75">
      <c r="A182" s="29"/>
      <c r="B182" s="293"/>
      <c r="C182" s="92"/>
      <c r="D182" s="92"/>
      <c r="E182" s="25"/>
      <c r="F182" s="25"/>
    </row>
    <row r="183" spans="1:6" ht="12.75">
      <c r="A183" s="29"/>
      <c r="B183" s="293"/>
      <c r="C183" s="92"/>
      <c r="D183" s="92"/>
      <c r="E183" s="25"/>
      <c r="F183" s="25"/>
    </row>
    <row r="184" spans="1:6" ht="12.75">
      <c r="A184" s="29"/>
      <c r="B184" s="293"/>
      <c r="C184" s="92"/>
      <c r="D184" s="92"/>
      <c r="E184" s="25"/>
      <c r="F184" s="25"/>
    </row>
    <row r="185" spans="1:6" ht="12.75">
      <c r="A185" s="29"/>
      <c r="B185" s="293"/>
      <c r="C185" s="92"/>
      <c r="D185" s="92"/>
      <c r="E185" s="25"/>
      <c r="F185" s="25"/>
    </row>
    <row r="186" spans="1:6" ht="12.75">
      <c r="A186" s="310"/>
      <c r="B186" s="293"/>
      <c r="C186" s="92"/>
      <c r="D186" s="92"/>
      <c r="E186" s="25"/>
      <c r="F186" s="25"/>
    </row>
    <row r="187" spans="1:6" ht="12.75">
      <c r="A187" s="3"/>
      <c r="B187" s="231"/>
      <c r="C187" s="92"/>
      <c r="D187" s="92"/>
      <c r="E187" s="25"/>
      <c r="F187" s="25"/>
    </row>
    <row r="188" spans="1:6" ht="12.75">
      <c r="A188" s="291"/>
      <c r="B188" s="231"/>
      <c r="C188" s="92"/>
      <c r="D188" s="92"/>
      <c r="E188" s="25"/>
      <c r="F188" s="25"/>
    </row>
    <row r="189" spans="1:6" ht="12.75">
      <c r="A189" s="3"/>
      <c r="B189" s="231"/>
      <c r="C189" s="92"/>
      <c r="D189" s="92"/>
      <c r="E189" s="25"/>
      <c r="F189" s="25"/>
    </row>
    <row r="190" spans="1:6" ht="12.75">
      <c r="A190" s="29"/>
      <c r="B190" s="293"/>
      <c r="C190" s="92"/>
      <c r="D190" s="92"/>
      <c r="E190" s="25"/>
      <c r="F190" s="25"/>
    </row>
    <row r="191" spans="1:6" ht="12.75">
      <c r="A191" s="29"/>
      <c r="B191" s="293"/>
      <c r="C191" s="92"/>
      <c r="D191" s="92"/>
      <c r="E191" s="25"/>
      <c r="F191" s="25"/>
    </row>
    <row r="192" spans="1:6" ht="12.75">
      <c r="A192" s="308"/>
      <c r="B192" s="309"/>
      <c r="C192" s="92"/>
      <c r="D192" s="92"/>
      <c r="E192" s="25"/>
      <c r="F192" s="25"/>
    </row>
    <row r="193" spans="1:6" ht="12.75">
      <c r="A193" s="29"/>
      <c r="B193" s="293"/>
      <c r="C193" s="92"/>
      <c r="D193" s="92"/>
      <c r="E193" s="25"/>
      <c r="F193" s="25"/>
    </row>
    <row r="194" spans="1:6" ht="12.75">
      <c r="A194" s="29"/>
      <c r="B194" s="293"/>
      <c r="C194" s="92"/>
      <c r="D194" s="92"/>
      <c r="E194" s="25"/>
      <c r="F194" s="25"/>
    </row>
    <row r="195" spans="1:6" ht="12.75">
      <c r="A195" s="308"/>
      <c r="B195" s="309"/>
      <c r="C195" s="92"/>
      <c r="D195" s="92"/>
      <c r="E195" s="25"/>
      <c r="F195" s="25"/>
    </row>
    <row r="196" spans="1:6" ht="12.75">
      <c r="A196" s="293"/>
      <c r="B196" s="293"/>
      <c r="C196" s="92"/>
      <c r="D196" s="92"/>
      <c r="E196" s="25"/>
      <c r="F196" s="25"/>
    </row>
    <row r="197" spans="1:6" ht="12.75">
      <c r="A197" s="3"/>
      <c r="B197" s="231"/>
      <c r="C197" s="92"/>
      <c r="D197" s="92"/>
      <c r="E197" s="25"/>
      <c r="F197" s="25"/>
    </row>
    <row r="198" spans="1:6" ht="12.75">
      <c r="A198" s="291"/>
      <c r="B198" s="231"/>
      <c r="C198" s="92"/>
      <c r="D198" s="92"/>
      <c r="E198" s="25"/>
      <c r="F198" s="25"/>
    </row>
    <row r="199" spans="1:6" ht="12.75">
      <c r="A199" s="291"/>
      <c r="B199" s="231"/>
      <c r="C199" s="92"/>
      <c r="D199" s="92"/>
      <c r="E199" s="25"/>
      <c r="F199" s="25"/>
    </row>
    <row r="200" spans="1:6" ht="12.75">
      <c r="A200" s="29"/>
      <c r="B200" s="293"/>
      <c r="C200" s="92"/>
      <c r="D200" s="92"/>
      <c r="E200" s="25"/>
      <c r="F200" s="25"/>
    </row>
    <row r="201" spans="1:6" ht="12.75">
      <c r="A201" s="29"/>
      <c r="B201" s="231"/>
      <c r="C201" s="92"/>
      <c r="D201" s="92"/>
      <c r="E201" s="25"/>
      <c r="F201" s="25"/>
    </row>
    <row r="202" spans="1:6" ht="12.75">
      <c r="A202" s="29"/>
      <c r="B202" s="231"/>
      <c r="C202" s="92"/>
      <c r="D202" s="92"/>
      <c r="E202" s="25"/>
      <c r="F202" s="25"/>
    </row>
    <row r="203" spans="1:6" ht="12.75">
      <c r="A203" s="291"/>
      <c r="B203" s="231"/>
      <c r="C203" s="92"/>
      <c r="D203" s="92"/>
      <c r="E203" s="25"/>
      <c r="F203" s="25"/>
    </row>
    <row r="204" spans="1:6" ht="12.75">
      <c r="A204" s="3"/>
      <c r="B204" s="231"/>
      <c r="C204" s="92"/>
      <c r="D204" s="92"/>
      <c r="E204" s="25"/>
      <c r="F204" s="25"/>
    </row>
    <row r="205" spans="1:6" ht="12.75">
      <c r="A205" s="293"/>
      <c r="B205" s="293"/>
      <c r="C205" s="92"/>
      <c r="D205" s="92"/>
      <c r="E205" s="25"/>
      <c r="F205" s="25"/>
    </row>
    <row r="206" spans="1:6" ht="12.75">
      <c r="A206" s="29"/>
      <c r="B206" s="293"/>
      <c r="C206" s="92"/>
      <c r="D206" s="92"/>
      <c r="E206" s="25"/>
      <c r="F206" s="25"/>
    </row>
    <row r="207" spans="1:6" ht="12.75">
      <c r="A207" s="29"/>
      <c r="B207" s="293"/>
      <c r="C207" s="92"/>
      <c r="D207" s="92"/>
      <c r="E207" s="25"/>
      <c r="F207" s="25"/>
    </row>
    <row r="208" spans="1:6" ht="12.75">
      <c r="A208" s="29"/>
      <c r="B208" s="293"/>
      <c r="C208" s="92"/>
      <c r="D208" s="92"/>
      <c r="E208" s="25"/>
      <c r="F208" s="25"/>
    </row>
    <row r="209" spans="1:6" ht="12.75">
      <c r="A209" s="293"/>
      <c r="B209" s="293"/>
      <c r="C209" s="92"/>
      <c r="D209" s="92"/>
      <c r="E209" s="25"/>
      <c r="F209" s="25"/>
    </row>
    <row r="210" spans="1:6" ht="12.75">
      <c r="A210" s="29"/>
      <c r="B210" s="293"/>
      <c r="C210" s="92"/>
      <c r="D210" s="92"/>
      <c r="E210" s="25"/>
      <c r="F210" s="25"/>
    </row>
    <row r="211" spans="1:6" ht="12.75">
      <c r="A211" s="29"/>
      <c r="B211" s="293"/>
      <c r="C211" s="92"/>
      <c r="D211" s="92"/>
      <c r="E211" s="25"/>
      <c r="F211" s="25"/>
    </row>
    <row r="212" spans="1:6" ht="12.75">
      <c r="A212" s="29"/>
      <c r="B212" s="293"/>
      <c r="C212" s="92"/>
      <c r="D212" s="92"/>
      <c r="E212" s="25"/>
      <c r="F212" s="25"/>
    </row>
    <row r="213" spans="1:6" ht="12.75">
      <c r="A213" s="29"/>
      <c r="B213" s="293"/>
      <c r="C213" s="92"/>
      <c r="D213" s="92"/>
      <c r="E213" s="25"/>
      <c r="F213" s="25"/>
    </row>
    <row r="214" spans="1:6" ht="12.75">
      <c r="A214" s="29"/>
      <c r="B214" s="293"/>
      <c r="C214" s="92"/>
      <c r="D214" s="92"/>
      <c r="E214" s="25"/>
      <c r="F214" s="25"/>
    </row>
    <row r="215" spans="1:6" ht="12.75">
      <c r="A215" s="29"/>
      <c r="B215" s="293"/>
      <c r="C215" s="92"/>
      <c r="D215" s="92"/>
      <c r="E215" s="25"/>
      <c r="F215" s="25"/>
    </row>
    <row r="216" spans="1:6" ht="12.75">
      <c r="A216" s="29"/>
      <c r="B216" s="293"/>
      <c r="C216" s="92"/>
      <c r="D216" s="92"/>
      <c r="E216" s="25"/>
      <c r="F216" s="25"/>
    </row>
    <row r="217" spans="1:6" ht="12.75">
      <c r="A217" s="29"/>
      <c r="B217" s="293"/>
      <c r="C217" s="92"/>
      <c r="D217" s="92"/>
      <c r="E217" s="25"/>
      <c r="F217" s="25"/>
    </row>
    <row r="218" spans="1:6" ht="12.75">
      <c r="A218" s="29"/>
      <c r="B218" s="293"/>
      <c r="C218" s="92"/>
      <c r="D218" s="92"/>
      <c r="E218" s="25"/>
      <c r="F218" s="25"/>
    </row>
    <row r="219" spans="1:6" ht="12.75">
      <c r="A219" s="29"/>
      <c r="B219" s="293"/>
      <c r="C219" s="92"/>
      <c r="D219" s="92"/>
      <c r="E219" s="25"/>
      <c r="F219" s="25"/>
    </row>
    <row r="220" spans="1:6" ht="12.75">
      <c r="A220" s="29"/>
      <c r="B220" s="293"/>
      <c r="C220" s="92"/>
      <c r="D220" s="92"/>
      <c r="E220" s="25"/>
      <c r="F220" s="25"/>
    </row>
    <row r="221" spans="1:6" ht="12.75">
      <c r="A221" s="29"/>
      <c r="B221" s="293"/>
      <c r="C221" s="92"/>
      <c r="D221" s="92"/>
      <c r="E221" s="25"/>
      <c r="F221" s="25"/>
    </row>
    <row r="222" spans="1:6" ht="12.75">
      <c r="A222" s="29"/>
      <c r="B222" s="293"/>
      <c r="C222" s="92"/>
      <c r="D222" s="92"/>
      <c r="E222" s="25"/>
      <c r="F222" s="25"/>
    </row>
    <row r="223" spans="1:6" ht="12.75">
      <c r="A223" s="29"/>
      <c r="B223" s="293"/>
      <c r="C223" s="92"/>
      <c r="D223" s="92"/>
      <c r="E223" s="25"/>
      <c r="F223" s="25"/>
    </row>
    <row r="224" spans="1:6" ht="12.75">
      <c r="A224" s="29"/>
      <c r="B224" s="293"/>
      <c r="C224" s="92"/>
      <c r="D224" s="92"/>
      <c r="E224" s="25"/>
      <c r="F224" s="25"/>
    </row>
    <row r="225" spans="1:6" ht="12.75">
      <c r="A225" s="29"/>
      <c r="B225" s="293"/>
      <c r="C225" s="92"/>
      <c r="D225" s="92"/>
      <c r="E225" s="25"/>
      <c r="F225" s="25"/>
    </row>
    <row r="226" spans="1:6" ht="12.75">
      <c r="A226" s="29"/>
      <c r="B226" s="293"/>
      <c r="C226" s="92"/>
      <c r="D226" s="92"/>
      <c r="E226" s="25"/>
      <c r="F226" s="25"/>
    </row>
    <row r="227" spans="1:6" ht="12.75">
      <c r="A227" s="29"/>
      <c r="B227" s="293"/>
      <c r="C227" s="92"/>
      <c r="D227" s="92"/>
      <c r="E227" s="25"/>
      <c r="F227" s="25"/>
    </row>
    <row r="228" spans="1:6" ht="12.75">
      <c r="A228" s="29"/>
      <c r="B228" s="293"/>
      <c r="C228" s="92"/>
      <c r="D228" s="92"/>
      <c r="E228" s="25"/>
      <c r="F228" s="25"/>
    </row>
    <row r="229" spans="1:6" ht="12.75">
      <c r="A229" s="29"/>
      <c r="B229" s="293"/>
      <c r="C229" s="92"/>
      <c r="D229" s="92"/>
      <c r="E229" s="25"/>
      <c r="F229" s="25"/>
    </row>
    <row r="230" spans="1:6" ht="12.75">
      <c r="A230" s="29"/>
      <c r="B230" s="292"/>
      <c r="C230" s="92"/>
      <c r="D230" s="92"/>
      <c r="E230" s="25"/>
      <c r="F230" s="25"/>
    </row>
    <row r="231" spans="1:6" ht="12.75">
      <c r="A231" s="29"/>
      <c r="B231" s="293"/>
      <c r="C231" s="92"/>
      <c r="D231" s="92"/>
      <c r="E231" s="25"/>
      <c r="F231" s="25"/>
    </row>
    <row r="232" spans="1:6" ht="12.75">
      <c r="A232" s="29"/>
      <c r="B232" s="293"/>
      <c r="C232" s="92"/>
      <c r="D232" s="92"/>
      <c r="E232" s="25"/>
      <c r="F232" s="25"/>
    </row>
    <row r="233" spans="1:6" ht="12.75">
      <c r="A233" s="29"/>
      <c r="B233" s="293"/>
      <c r="C233" s="92"/>
      <c r="D233" s="92"/>
      <c r="E233" s="25"/>
      <c r="F233" s="25"/>
    </row>
    <row r="234" spans="1:6" ht="12.75">
      <c r="A234" s="29"/>
      <c r="B234" s="293"/>
      <c r="C234" s="92"/>
      <c r="D234" s="92"/>
      <c r="E234" s="25"/>
      <c r="F234" s="25"/>
    </row>
    <row r="235" spans="1:6" ht="12.75">
      <c r="A235" s="29"/>
      <c r="B235" s="293"/>
      <c r="C235" s="92"/>
      <c r="D235" s="92"/>
      <c r="E235" s="25"/>
      <c r="F235" s="25"/>
    </row>
    <row r="236" spans="1:6" ht="12.75">
      <c r="A236" s="29"/>
      <c r="B236" s="293"/>
      <c r="C236" s="92"/>
      <c r="D236" s="92"/>
      <c r="E236" s="25"/>
      <c r="F236" s="25"/>
    </row>
    <row r="237" spans="1:6" ht="12.75">
      <c r="A237" s="29"/>
      <c r="B237" s="293"/>
      <c r="C237" s="92"/>
      <c r="D237" s="92"/>
      <c r="E237" s="25"/>
      <c r="F237" s="25"/>
    </row>
    <row r="238" spans="1:6" ht="12.75">
      <c r="A238" s="29"/>
      <c r="B238" s="293"/>
      <c r="C238" s="92"/>
      <c r="D238" s="92"/>
      <c r="E238" s="25"/>
      <c r="F238" s="25"/>
    </row>
    <row r="239" spans="1:6" ht="12.75">
      <c r="A239" s="29"/>
      <c r="B239" s="293"/>
      <c r="C239" s="92"/>
      <c r="D239" s="92"/>
      <c r="E239" s="25"/>
      <c r="F239" s="25"/>
    </row>
    <row r="240" spans="1:6" ht="12.75">
      <c r="A240" s="29"/>
      <c r="B240" s="293"/>
      <c r="C240" s="92"/>
      <c r="D240" s="92"/>
      <c r="E240" s="25"/>
      <c r="F240" s="25"/>
    </row>
    <row r="241" spans="1:6" ht="12.75">
      <c r="A241" s="29"/>
      <c r="B241" s="293"/>
      <c r="C241" s="92"/>
      <c r="D241" s="92"/>
      <c r="E241" s="25"/>
      <c r="F241" s="25"/>
    </row>
    <row r="242" spans="1:6" ht="12.75">
      <c r="A242" s="29"/>
      <c r="B242" s="293"/>
      <c r="C242" s="92"/>
      <c r="D242" s="92"/>
      <c r="E242" s="25"/>
      <c r="F242" s="25"/>
    </row>
    <row r="243" spans="1:6" ht="12.75">
      <c r="A243" s="29"/>
      <c r="B243" s="293"/>
      <c r="C243" s="92"/>
      <c r="D243" s="92"/>
      <c r="E243" s="25"/>
      <c r="F243" s="25"/>
    </row>
    <row r="244" spans="1:6" ht="12.75">
      <c r="A244" s="29"/>
      <c r="B244" s="293"/>
      <c r="C244" s="92"/>
      <c r="D244" s="92"/>
      <c r="E244" s="25"/>
      <c r="F244" s="25"/>
    </row>
    <row r="245" spans="1:6" ht="12.75">
      <c r="A245" s="29"/>
      <c r="B245" s="293"/>
      <c r="C245" s="92"/>
      <c r="D245" s="92"/>
      <c r="E245" s="25"/>
      <c r="F245" s="25"/>
    </row>
    <row r="246" spans="1:6" ht="12.75">
      <c r="A246" s="29"/>
      <c r="B246" s="293"/>
      <c r="C246" s="92"/>
      <c r="D246" s="92"/>
      <c r="E246" s="25"/>
      <c r="F246" s="25"/>
    </row>
    <row r="247" spans="1:6" ht="12.75">
      <c r="A247" s="29"/>
      <c r="B247" s="293"/>
      <c r="C247" s="92"/>
      <c r="D247" s="92"/>
      <c r="E247" s="25"/>
      <c r="F247" s="25"/>
    </row>
    <row r="248" spans="1:6" ht="12.75">
      <c r="A248" s="29"/>
      <c r="B248" s="293"/>
      <c r="C248" s="92"/>
      <c r="D248" s="92"/>
      <c r="E248" s="25"/>
      <c r="F248" s="25"/>
    </row>
    <row r="249" spans="1:6" ht="12.75">
      <c r="A249" s="29"/>
      <c r="B249" s="293"/>
      <c r="C249" s="92"/>
      <c r="D249" s="92"/>
      <c r="E249" s="25"/>
      <c r="F249" s="25"/>
    </row>
    <row r="250" spans="1:6" ht="12.75">
      <c r="A250" s="29"/>
      <c r="B250" s="293"/>
      <c r="C250" s="92"/>
      <c r="D250" s="92"/>
      <c r="E250" s="25"/>
      <c r="F250" s="25"/>
    </row>
    <row r="251" spans="1:6" ht="12.75">
      <c r="A251" s="29"/>
      <c r="B251" s="293"/>
      <c r="C251" s="92"/>
      <c r="D251" s="92"/>
      <c r="E251" s="25"/>
      <c r="F251" s="25"/>
    </row>
    <row r="252" spans="1:6" ht="12.75">
      <c r="A252" s="29"/>
      <c r="B252" s="293"/>
      <c r="C252" s="92"/>
      <c r="D252" s="92"/>
      <c r="E252" s="25"/>
      <c r="F252" s="25"/>
    </row>
    <row r="253" spans="1:6" ht="12.75">
      <c r="A253" s="29"/>
      <c r="B253" s="293"/>
      <c r="C253" s="92"/>
      <c r="D253" s="92"/>
      <c r="E253" s="25"/>
      <c r="F253" s="25"/>
    </row>
    <row r="254" spans="1:6" ht="12.75">
      <c r="A254" s="29"/>
      <c r="B254" s="293"/>
      <c r="C254" s="92"/>
      <c r="D254" s="92"/>
      <c r="E254" s="25"/>
      <c r="F254" s="25"/>
    </row>
    <row r="255" spans="1:6" ht="12.75">
      <c r="A255" s="29"/>
      <c r="B255" s="293"/>
      <c r="C255" s="92"/>
      <c r="D255" s="92"/>
      <c r="E255" s="25"/>
      <c r="F255" s="25"/>
    </row>
    <row r="256" spans="1:6" ht="12.75">
      <c r="A256" s="29"/>
      <c r="B256" s="293"/>
      <c r="C256" s="92"/>
      <c r="D256" s="92"/>
      <c r="E256" s="25"/>
      <c r="F256" s="25"/>
    </row>
    <row r="257" spans="1:6" ht="12.75">
      <c r="A257" s="29"/>
      <c r="B257" s="293"/>
      <c r="C257" s="92"/>
      <c r="D257" s="92"/>
      <c r="E257" s="25"/>
      <c r="F257" s="25"/>
    </row>
    <row r="258" spans="1:6" ht="12.75">
      <c r="A258" s="29"/>
      <c r="B258" s="293"/>
      <c r="C258" s="92"/>
      <c r="D258" s="92"/>
      <c r="E258" s="25"/>
      <c r="F258" s="25"/>
    </row>
    <row r="259" spans="1:6" ht="12.75">
      <c r="A259" s="29"/>
      <c r="B259" s="293"/>
      <c r="C259" s="92"/>
      <c r="D259" s="92"/>
      <c r="E259" s="25"/>
      <c r="F259" s="25"/>
    </row>
    <row r="260" spans="1:6" ht="12.75">
      <c r="A260" s="29"/>
      <c r="B260" s="293"/>
      <c r="C260" s="92"/>
      <c r="D260" s="92"/>
      <c r="E260" s="25"/>
      <c r="F260" s="25"/>
    </row>
    <row r="261" spans="1:6" ht="12.75">
      <c r="A261" s="29"/>
      <c r="B261" s="293"/>
      <c r="C261" s="92"/>
      <c r="D261" s="92"/>
      <c r="E261" s="25"/>
      <c r="F261" s="25"/>
    </row>
    <row r="262" spans="1:6" ht="12.75">
      <c r="A262" s="29"/>
      <c r="B262" s="293"/>
      <c r="C262" s="92"/>
      <c r="D262" s="92"/>
      <c r="E262" s="25"/>
      <c r="F262" s="25"/>
    </row>
    <row r="263" spans="1:6" ht="12.75">
      <c r="A263" s="29"/>
      <c r="B263" s="293"/>
      <c r="C263" s="92"/>
      <c r="D263" s="92"/>
      <c r="E263" s="25"/>
      <c r="F263" s="25"/>
    </row>
    <row r="264" spans="1:6" ht="12.75">
      <c r="A264" s="29"/>
      <c r="B264" s="293"/>
      <c r="C264" s="92"/>
      <c r="D264" s="92"/>
      <c r="E264" s="25"/>
      <c r="F264" s="25"/>
    </row>
    <row r="265" spans="1:6" ht="12.75">
      <c r="A265" s="29"/>
      <c r="B265" s="293"/>
      <c r="C265" s="92"/>
      <c r="D265" s="92"/>
      <c r="E265" s="25"/>
      <c r="F265" s="25"/>
    </row>
    <row r="266" spans="1:6" ht="12.75">
      <c r="A266" s="29"/>
      <c r="B266" s="293"/>
      <c r="C266" s="92"/>
      <c r="D266" s="92"/>
      <c r="E266" s="25"/>
      <c r="F266" s="25"/>
    </row>
    <row r="267" spans="1:6" ht="12.75">
      <c r="A267" s="29"/>
      <c r="B267" s="293"/>
      <c r="C267" s="92"/>
      <c r="D267" s="92"/>
      <c r="E267" s="25"/>
      <c r="F267" s="25"/>
    </row>
    <row r="268" spans="1:6" ht="12.75">
      <c r="A268" s="29"/>
      <c r="B268" s="293"/>
      <c r="C268" s="92"/>
      <c r="D268" s="92"/>
      <c r="E268" s="25"/>
      <c r="F268" s="25"/>
    </row>
    <row r="269" spans="1:6" ht="12.75">
      <c r="A269" s="29"/>
      <c r="B269" s="293"/>
      <c r="C269" s="92"/>
      <c r="D269" s="92"/>
      <c r="E269" s="25"/>
      <c r="F269" s="25"/>
    </row>
    <row r="270" spans="1:6" ht="12.75">
      <c r="A270" s="29"/>
      <c r="B270" s="293"/>
      <c r="C270" s="92"/>
      <c r="D270" s="92"/>
      <c r="E270" s="25"/>
      <c r="F270" s="25"/>
    </row>
    <row r="271" spans="1:6" ht="12.75">
      <c r="A271" s="29"/>
      <c r="B271" s="293"/>
      <c r="C271" s="92"/>
      <c r="D271" s="92"/>
      <c r="E271" s="25"/>
      <c r="F271" s="25"/>
    </row>
    <row r="272" spans="1:6" ht="12.75">
      <c r="A272" s="29"/>
      <c r="B272" s="292"/>
      <c r="C272" s="92"/>
      <c r="D272" s="92"/>
      <c r="E272" s="25"/>
      <c r="F272" s="25"/>
    </row>
    <row r="273" spans="1:6" ht="12.75">
      <c r="A273" s="29"/>
      <c r="B273" s="293"/>
      <c r="C273" s="92"/>
      <c r="D273" s="92"/>
      <c r="E273" s="25"/>
      <c r="F273" s="25"/>
    </row>
    <row r="274" spans="1:6" ht="12.75">
      <c r="A274" s="29"/>
      <c r="B274" s="293"/>
      <c r="C274" s="92"/>
      <c r="D274" s="92"/>
      <c r="E274" s="25"/>
      <c r="F274" s="25"/>
    </row>
    <row r="275" spans="1:6" ht="12.75">
      <c r="A275" s="29"/>
      <c r="B275" s="293"/>
      <c r="C275" s="92"/>
      <c r="D275" s="92"/>
      <c r="E275" s="25"/>
      <c r="F275" s="25"/>
    </row>
    <row r="276" spans="1:6" ht="12.75">
      <c r="A276" s="29"/>
      <c r="B276" s="293"/>
      <c r="C276" s="92"/>
      <c r="D276" s="92"/>
      <c r="E276" s="25"/>
      <c r="F276" s="25"/>
    </row>
    <row r="277" spans="1:6" ht="12.75">
      <c r="A277" s="29"/>
      <c r="B277" s="293"/>
      <c r="C277" s="92"/>
      <c r="D277" s="92"/>
      <c r="E277" s="25"/>
      <c r="F277" s="25"/>
    </row>
    <row r="278" spans="1:6" ht="12.75">
      <c r="A278" s="29"/>
      <c r="B278" s="293"/>
      <c r="C278" s="92"/>
      <c r="D278" s="92"/>
      <c r="E278" s="25"/>
      <c r="F278" s="25"/>
    </row>
    <row r="279" spans="1:6" ht="12.75">
      <c r="A279" s="29"/>
      <c r="B279" s="293"/>
      <c r="C279" s="92"/>
      <c r="D279" s="92"/>
      <c r="E279" s="25"/>
      <c r="F279" s="25"/>
    </row>
    <row r="280" spans="1:6" ht="12.75">
      <c r="A280" s="29"/>
      <c r="B280" s="293"/>
      <c r="C280" s="92"/>
      <c r="D280" s="92"/>
      <c r="E280" s="25"/>
      <c r="F280" s="25"/>
    </row>
    <row r="281" spans="1:6" ht="12.75">
      <c r="A281" s="29"/>
      <c r="B281" s="293"/>
      <c r="C281" s="92"/>
      <c r="D281" s="92"/>
      <c r="E281" s="25"/>
      <c r="F281" s="25"/>
    </row>
    <row r="282" spans="1:6" ht="12.75">
      <c r="A282" s="29"/>
      <c r="B282" s="293"/>
      <c r="C282" s="92"/>
      <c r="D282" s="92"/>
      <c r="E282" s="25"/>
      <c r="F282" s="25"/>
    </row>
    <row r="283" spans="1:6" ht="12.75">
      <c r="A283" s="29"/>
      <c r="B283" s="293"/>
      <c r="C283" s="92"/>
      <c r="D283" s="92"/>
      <c r="E283" s="25"/>
      <c r="F283" s="25"/>
    </row>
    <row r="284" spans="1:6" ht="12.75">
      <c r="A284" s="29"/>
      <c r="B284" s="293"/>
      <c r="C284" s="92"/>
      <c r="D284" s="92"/>
      <c r="E284" s="25"/>
      <c r="F284" s="25"/>
    </row>
    <row r="285" spans="1:6" ht="12.75">
      <c r="A285" s="29"/>
      <c r="B285" s="293"/>
      <c r="C285" s="92"/>
      <c r="D285" s="92"/>
      <c r="E285" s="25"/>
      <c r="F285" s="25"/>
    </row>
    <row r="286" spans="1:6" ht="12.75">
      <c r="A286" s="29"/>
      <c r="B286" s="293"/>
      <c r="C286" s="92"/>
      <c r="D286" s="92"/>
      <c r="E286" s="25"/>
      <c r="F286" s="25"/>
    </row>
  </sheetData>
  <sheetProtection/>
  <mergeCells count="17">
    <mergeCell ref="A10:A11"/>
    <mergeCell ref="A2:P2"/>
    <mergeCell ref="A3:P3"/>
    <mergeCell ref="A5:P5"/>
    <mergeCell ref="A6:P6"/>
    <mergeCell ref="A7:P7"/>
    <mergeCell ref="A8:P8"/>
    <mergeCell ref="O156:P156"/>
    <mergeCell ref="A9:P9"/>
    <mergeCell ref="C10:D10"/>
    <mergeCell ref="E10:F10"/>
    <mergeCell ref="G10:H10"/>
    <mergeCell ref="I10:J10"/>
    <mergeCell ref="K10:L10"/>
    <mergeCell ref="M10:N10"/>
    <mergeCell ref="O10:O11"/>
    <mergeCell ref="P10:P11"/>
  </mergeCells>
  <printOptions/>
  <pageMargins left="0.7" right="0.7" top="0.75" bottom="0.75" header="0.3" footer="0.3"/>
  <pageSetup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5"/>
  <sheetViews>
    <sheetView zoomScalePageLayoutView="0" workbookViewId="0" topLeftCell="A88">
      <selection activeCell="J65" sqref="J65"/>
    </sheetView>
  </sheetViews>
  <sheetFormatPr defaultColWidth="9.140625" defaultRowHeight="12.75"/>
  <cols>
    <col min="1" max="1" width="2.421875" style="77" customWidth="1"/>
    <col min="2" max="2" width="50.7109375" style="77" customWidth="1"/>
    <col min="3" max="3" width="14.8515625" style="77" customWidth="1"/>
    <col min="4" max="4" width="1.7109375" style="77" customWidth="1"/>
    <col min="5" max="5" width="14.8515625" style="77" bestFit="1" customWidth="1"/>
    <col min="6" max="6" width="0" style="76" hidden="1" customWidth="1"/>
    <col min="7" max="7" width="12.8515625" style="76" hidden="1" customWidth="1"/>
    <col min="8" max="8" width="0" style="76" hidden="1" customWidth="1"/>
    <col min="9" max="16384" width="9.140625" style="77" customWidth="1"/>
  </cols>
  <sheetData>
    <row r="1" spans="1:5" ht="12.75">
      <c r="A1" s="551" t="s">
        <v>1</v>
      </c>
      <c r="B1" s="551"/>
      <c r="C1" s="551"/>
      <c r="D1" s="551"/>
      <c r="E1" s="551"/>
    </row>
    <row r="2" spans="1:5" ht="12.75">
      <c r="A2" s="551" t="s">
        <v>246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">
        <v>633</v>
      </c>
      <c r="B4" s="552"/>
      <c r="C4" s="552"/>
      <c r="D4" s="552"/>
      <c r="E4" s="552"/>
    </row>
    <row r="5" spans="1:5" ht="12.75">
      <c r="A5" s="1"/>
      <c r="B5" s="1"/>
      <c r="C5" s="1"/>
      <c r="D5" s="1"/>
      <c r="E5" s="1"/>
    </row>
    <row r="6" spans="1:5" ht="12.75">
      <c r="A6" s="20" t="s">
        <v>247</v>
      </c>
      <c r="B6" s="1"/>
      <c r="C6" s="1"/>
      <c r="D6" s="1"/>
      <c r="E6" s="1"/>
    </row>
    <row r="7" spans="1:5" ht="6.75" customHeight="1">
      <c r="A7" s="1"/>
      <c r="B7" s="1"/>
      <c r="C7" s="78"/>
      <c r="D7" s="78"/>
      <c r="E7" s="1"/>
    </row>
    <row r="8" spans="1:5" s="76" customFormat="1" ht="14.25" customHeight="1">
      <c r="A8" s="80" t="s">
        <v>248</v>
      </c>
      <c r="C8" s="146">
        <v>0</v>
      </c>
      <c r="D8" s="79"/>
      <c r="E8" s="95"/>
    </row>
    <row r="9" spans="1:5" ht="14.25" customHeight="1">
      <c r="A9" s="1"/>
      <c r="B9" s="1"/>
      <c r="C9" s="78"/>
      <c r="D9" s="78"/>
      <c r="E9" s="79"/>
    </row>
    <row r="10" spans="1:5" ht="12.75">
      <c r="A10" s="2" t="s">
        <v>249</v>
      </c>
      <c r="B10" s="1"/>
      <c r="C10" s="78"/>
      <c r="D10" s="78"/>
      <c r="E10" s="78"/>
    </row>
    <row r="11" spans="1:5" ht="6.75" customHeight="1">
      <c r="A11" s="2"/>
      <c r="B11" s="3"/>
      <c r="C11" s="79"/>
      <c r="D11" s="78"/>
      <c r="E11" s="78"/>
    </row>
    <row r="12" spans="1:5" ht="12.75" customHeight="1">
      <c r="A12" s="2"/>
      <c r="B12" s="80" t="s">
        <v>250</v>
      </c>
      <c r="C12" s="79"/>
      <c r="D12" s="78"/>
      <c r="E12" s="78"/>
    </row>
    <row r="13" spans="1:5" ht="12.75" customHeight="1">
      <c r="A13" s="2"/>
      <c r="B13" s="131" t="s">
        <v>251</v>
      </c>
      <c r="C13" s="79"/>
      <c r="D13" s="78"/>
      <c r="E13" s="78"/>
    </row>
    <row r="14" spans="1:5" ht="12.75">
      <c r="A14" s="80"/>
      <c r="B14" s="132" t="s">
        <v>143</v>
      </c>
      <c r="C14" s="91">
        <f>'Converted TB-3rd Qtr'!O65</f>
        <v>9357446.78</v>
      </c>
      <c r="D14" s="92">
        <v>12553153.57</v>
      </c>
      <c r="E14" s="78"/>
    </row>
    <row r="15" spans="1:5" ht="12.75">
      <c r="A15" s="80"/>
      <c r="B15" s="133" t="s">
        <v>252</v>
      </c>
      <c r="C15" s="134">
        <f>+C14</f>
        <v>9357446.78</v>
      </c>
      <c r="D15" s="92"/>
      <c r="E15" s="78"/>
    </row>
    <row r="16" spans="1:5" ht="12.75">
      <c r="A16" s="80"/>
      <c r="B16" s="132"/>
      <c r="C16" s="92"/>
      <c r="D16" s="92"/>
      <c r="E16" s="78"/>
    </row>
    <row r="17" spans="1:5" ht="12.75">
      <c r="A17" s="80"/>
      <c r="B17" s="131" t="s">
        <v>208</v>
      </c>
      <c r="C17" s="92"/>
      <c r="D17" s="92"/>
      <c r="E17" s="78"/>
    </row>
    <row r="18" spans="1:5" ht="12.75">
      <c r="A18" s="80"/>
      <c r="B18" s="132" t="s">
        <v>20</v>
      </c>
      <c r="C18" s="92">
        <f>'Converted TB-3rd Qtr'!O66</f>
        <v>356545.45</v>
      </c>
      <c r="D18" s="92">
        <v>982077</v>
      </c>
      <c r="E18" s="78"/>
    </row>
    <row r="19" spans="1:5" ht="12.75">
      <c r="A19" s="80"/>
      <c r="B19" s="132" t="s">
        <v>21</v>
      </c>
      <c r="C19" s="92">
        <f>'Converted TB-3rd Qtr'!O67</f>
        <v>167772.72999999998</v>
      </c>
      <c r="D19" s="92">
        <v>488250</v>
      </c>
      <c r="E19" s="78"/>
    </row>
    <row r="20" spans="1:5" ht="12.75">
      <c r="A20" s="80"/>
      <c r="B20" s="132" t="s">
        <v>22</v>
      </c>
      <c r="C20" s="92">
        <f>'Converted TB-3rd Qtr'!O68</f>
        <v>167772.72999999998</v>
      </c>
      <c r="D20" s="92"/>
      <c r="E20" s="78"/>
    </row>
    <row r="21" spans="1:5" ht="12.75">
      <c r="A21" s="80"/>
      <c r="B21" s="132" t="s">
        <v>67</v>
      </c>
      <c r="C21" s="92">
        <f>'Converted TB-3rd Qtr'!O69</f>
        <v>219674.77</v>
      </c>
      <c r="D21" s="92"/>
      <c r="E21" s="78"/>
    </row>
    <row r="22" spans="1:5" ht="12.75" customHeight="1">
      <c r="A22" s="80"/>
      <c r="B22" s="132" t="s">
        <v>149</v>
      </c>
      <c r="C22" s="92"/>
      <c r="D22" s="92"/>
      <c r="E22" s="78"/>
    </row>
    <row r="23" spans="1:5" ht="12.75">
      <c r="A23" s="80"/>
      <c r="B23" s="132" t="s">
        <v>66</v>
      </c>
      <c r="C23" s="92"/>
      <c r="D23" s="92"/>
      <c r="E23" s="78"/>
    </row>
    <row r="24" spans="1:5" ht="12.75">
      <c r="A24" s="80"/>
      <c r="B24" s="132" t="s">
        <v>221</v>
      </c>
      <c r="C24" s="92">
        <f>'Converted TB-3rd Qtr'!O72</f>
        <v>3000</v>
      </c>
      <c r="D24" s="92"/>
      <c r="E24" s="78"/>
    </row>
    <row r="25" spans="1:5" ht="12.75">
      <c r="A25" s="80"/>
      <c r="B25" s="132" t="s">
        <v>76</v>
      </c>
      <c r="C25" s="92">
        <f>'Converted TB-3rd Qtr'!C70</f>
        <v>0</v>
      </c>
      <c r="D25" s="92"/>
      <c r="E25" s="78"/>
    </row>
    <row r="26" spans="1:5" ht="12.75">
      <c r="A26" s="80"/>
      <c r="B26" s="132" t="s">
        <v>242</v>
      </c>
      <c r="C26" s="92">
        <f>'Converted TB-3rd Qtr'!O75</f>
        <v>940884</v>
      </c>
      <c r="D26" s="92"/>
      <c r="E26" s="78"/>
    </row>
    <row r="27" spans="1:5" ht="12.75">
      <c r="A27" s="80"/>
      <c r="B27" s="132" t="s">
        <v>75</v>
      </c>
      <c r="C27" s="92"/>
      <c r="D27" s="92"/>
      <c r="E27" s="78"/>
    </row>
    <row r="28" spans="1:5" ht="12.75">
      <c r="A28" s="80"/>
      <c r="B28" s="132" t="s">
        <v>631</v>
      </c>
      <c r="C28" s="92">
        <f>'Converted TB-3rd Qtr'!O73</f>
        <v>15000</v>
      </c>
      <c r="D28" s="92"/>
      <c r="E28" s="78"/>
    </row>
    <row r="29" spans="1:5" ht="12.75">
      <c r="A29" s="80"/>
      <c r="B29" s="132" t="s">
        <v>70</v>
      </c>
      <c r="C29" s="91"/>
      <c r="D29" s="92"/>
      <c r="E29" s="78"/>
    </row>
    <row r="30" spans="1:5" ht="12.75">
      <c r="A30" s="80"/>
      <c r="B30" s="133" t="s">
        <v>253</v>
      </c>
      <c r="C30" s="134">
        <f>SUM(C18:C29)</f>
        <v>1870649.68</v>
      </c>
      <c r="D30" s="92"/>
      <c r="E30" s="78"/>
    </row>
    <row r="31" spans="1:5" ht="12.75">
      <c r="A31" s="80"/>
      <c r="B31" s="29"/>
      <c r="C31" s="92"/>
      <c r="D31" s="92"/>
      <c r="E31" s="78"/>
    </row>
    <row r="32" spans="1:5" ht="12.75">
      <c r="A32" s="80"/>
      <c r="B32" s="131" t="s">
        <v>254</v>
      </c>
      <c r="C32" s="92"/>
      <c r="D32" s="92"/>
      <c r="E32" s="78"/>
    </row>
    <row r="33" spans="1:7" ht="12.75">
      <c r="A33" s="80"/>
      <c r="B33" s="132" t="s">
        <v>255</v>
      </c>
      <c r="C33" s="92">
        <f>'Converted TB-3rd Qtr'!O81</f>
        <v>1248160.26</v>
      </c>
      <c r="D33" s="92"/>
      <c r="E33" s="78"/>
      <c r="G33" s="81">
        <f>SUM(C14:C33)</f>
        <v>23704353.18</v>
      </c>
    </row>
    <row r="34" spans="1:5" ht="12.75">
      <c r="A34" s="80"/>
      <c r="B34" s="132" t="s">
        <v>34</v>
      </c>
      <c r="C34" s="92">
        <f>'Converted TB-3rd Qtr'!O82</f>
        <v>26008.5</v>
      </c>
      <c r="D34" s="92"/>
      <c r="E34" s="78"/>
    </row>
    <row r="35" spans="1:7" ht="12.75">
      <c r="A35" s="80"/>
      <c r="B35" s="132" t="s">
        <v>35</v>
      </c>
      <c r="C35" s="92">
        <f>'Converted TB-3rd Qtr'!O83</f>
        <v>87074.83</v>
      </c>
      <c r="D35" s="92"/>
      <c r="E35" s="78"/>
      <c r="G35" s="81"/>
    </row>
    <row r="36" spans="1:5" ht="12.75">
      <c r="A36" s="80"/>
      <c r="B36" s="132" t="s">
        <v>256</v>
      </c>
      <c r="C36" s="91">
        <f>'Converted TB-3rd Qtr'!O84</f>
        <v>26200</v>
      </c>
      <c r="D36" s="92"/>
      <c r="E36" s="78"/>
    </row>
    <row r="37" spans="1:5" ht="12.75">
      <c r="A37" s="80"/>
      <c r="B37" s="133" t="s">
        <v>257</v>
      </c>
      <c r="C37" s="134">
        <f>SUM(C33:C36)</f>
        <v>1387443.59</v>
      </c>
      <c r="D37" s="92"/>
      <c r="E37" s="78"/>
    </row>
    <row r="38" spans="1:5" ht="12.75">
      <c r="A38" s="80"/>
      <c r="B38" s="29"/>
      <c r="C38" s="92"/>
      <c r="D38" s="92"/>
      <c r="E38" s="78"/>
    </row>
    <row r="39" spans="1:5" ht="12.75">
      <c r="A39" s="80"/>
      <c r="B39" s="131" t="s">
        <v>208</v>
      </c>
      <c r="C39" s="92"/>
      <c r="D39" s="92"/>
      <c r="E39" s="78"/>
    </row>
    <row r="40" spans="1:5" ht="12.75">
      <c r="A40" s="80"/>
      <c r="B40" s="132" t="s">
        <v>208</v>
      </c>
      <c r="C40" s="92">
        <f>'Converted TB-3rd Qtr'!O85</f>
        <v>45885.47</v>
      </c>
      <c r="D40" s="92"/>
      <c r="E40" s="78"/>
    </row>
    <row r="41" spans="1:5" ht="12.75">
      <c r="A41" s="80"/>
      <c r="B41" s="132" t="s">
        <v>98</v>
      </c>
      <c r="C41" s="91">
        <f>'Converted TB-3rd Qtr'!O86</f>
        <v>1090999.4000000001</v>
      </c>
      <c r="D41" s="92"/>
      <c r="E41" s="78"/>
    </row>
    <row r="42" spans="1:5" ht="12.75">
      <c r="A42" s="80"/>
      <c r="B42" s="133" t="s">
        <v>258</v>
      </c>
      <c r="C42" s="134">
        <f>SUM(C40:C41)</f>
        <v>1136884.87</v>
      </c>
      <c r="D42" s="92"/>
      <c r="E42" s="78"/>
    </row>
    <row r="43" spans="1:5" ht="12.75">
      <c r="A43" s="80"/>
      <c r="B43" s="29"/>
      <c r="C43" s="92"/>
      <c r="D43" s="92"/>
      <c r="E43" s="78"/>
    </row>
    <row r="44" spans="1:5" ht="12.75">
      <c r="A44" s="80"/>
      <c r="B44" s="130" t="s">
        <v>259</v>
      </c>
      <c r="C44" s="137">
        <f>C15+C30+C37+C42</f>
        <v>13752424.919999998</v>
      </c>
      <c r="D44" s="92"/>
      <c r="E44" s="78"/>
    </row>
    <row r="45" spans="1:5" ht="12.75">
      <c r="A45" s="80"/>
      <c r="B45" s="29"/>
      <c r="C45" s="92"/>
      <c r="D45" s="92"/>
      <c r="E45" s="78"/>
    </row>
    <row r="46" spans="2:5" ht="12.75">
      <c r="B46" s="80" t="s">
        <v>93</v>
      </c>
      <c r="C46" s="92"/>
      <c r="D46" s="92"/>
      <c r="E46" s="78"/>
    </row>
    <row r="47" spans="1:5" ht="12.75">
      <c r="A47" s="80"/>
      <c r="B47" s="131" t="s">
        <v>260</v>
      </c>
      <c r="C47" s="92"/>
      <c r="D47" s="92"/>
      <c r="E47" s="78"/>
    </row>
    <row r="48" spans="1:5" ht="12.75">
      <c r="A48" s="80"/>
      <c r="B48" s="132" t="s">
        <v>28</v>
      </c>
      <c r="C48" s="92">
        <f>'Converted TB-3rd Qtr'!O87</f>
        <v>1053196.22</v>
      </c>
      <c r="D48" s="92"/>
      <c r="E48" s="78"/>
    </row>
    <row r="49" spans="1:5" ht="12.75">
      <c r="A49" s="80"/>
      <c r="B49" s="132" t="s">
        <v>243</v>
      </c>
      <c r="C49" s="91">
        <f>'Converted TB-3rd Qtr'!C80</f>
        <v>0</v>
      </c>
      <c r="D49" s="92"/>
      <c r="E49" s="78"/>
    </row>
    <row r="50" spans="1:5" ht="12.75">
      <c r="A50" s="80"/>
      <c r="B50" s="133" t="s">
        <v>261</v>
      </c>
      <c r="C50" s="134">
        <f>SUM(C48:C49)</f>
        <v>1053196.22</v>
      </c>
      <c r="D50" s="92"/>
      <c r="E50" s="78"/>
    </row>
    <row r="51" spans="1:5" ht="12.75">
      <c r="A51" s="80"/>
      <c r="B51" s="132"/>
      <c r="C51" s="92"/>
      <c r="D51" s="92"/>
      <c r="E51" s="78"/>
    </row>
    <row r="52" spans="1:5" ht="12.75">
      <c r="A52" s="80"/>
      <c r="B52" s="131" t="s">
        <v>262</v>
      </c>
      <c r="C52" s="92"/>
      <c r="D52" s="92"/>
      <c r="E52" s="78"/>
    </row>
    <row r="53" spans="1:5" ht="12.75">
      <c r="A53" s="80"/>
      <c r="B53" s="132" t="s">
        <v>27</v>
      </c>
      <c r="C53" s="92">
        <f>'Converted TB-3rd Qtr'!O89</f>
        <v>4466548.42</v>
      </c>
      <c r="D53" s="92"/>
      <c r="E53" s="78"/>
    </row>
    <row r="54" spans="1:5" ht="12.75">
      <c r="A54" s="80"/>
      <c r="B54" s="132" t="s">
        <v>263</v>
      </c>
      <c r="C54" s="91">
        <v>0</v>
      </c>
      <c r="D54" s="92"/>
      <c r="E54" s="78"/>
    </row>
    <row r="55" spans="1:5" ht="12.75">
      <c r="A55" s="80"/>
      <c r="B55" s="133" t="s">
        <v>264</v>
      </c>
      <c r="C55" s="134">
        <f>SUM(C53:C54)</f>
        <v>4466548.42</v>
      </c>
      <c r="D55" s="92"/>
      <c r="E55" s="78"/>
    </row>
    <row r="56" spans="1:5" ht="12.75">
      <c r="A56" s="80"/>
      <c r="B56" s="132"/>
      <c r="C56" s="92"/>
      <c r="D56" s="92"/>
      <c r="E56" s="78"/>
    </row>
    <row r="57" spans="1:5" ht="12.75">
      <c r="A57" s="80"/>
      <c r="B57" s="131" t="s">
        <v>265</v>
      </c>
      <c r="C57" s="92"/>
      <c r="D57" s="92"/>
      <c r="E57" s="78"/>
    </row>
    <row r="58" spans="1:5" ht="12.75">
      <c r="A58" s="80"/>
      <c r="B58" s="132" t="s">
        <v>216</v>
      </c>
      <c r="C58" s="92">
        <f>'Converted TB-3rd Qtr'!O91</f>
        <v>1229685.15</v>
      </c>
      <c r="D58" s="92"/>
      <c r="E58" s="78"/>
    </row>
    <row r="59" spans="1:5" ht="12.75">
      <c r="A59" s="80"/>
      <c r="B59" s="132" t="s">
        <v>56</v>
      </c>
      <c r="C59" s="92">
        <f>'Converted TB-3rd Qtr'!O92</f>
        <v>35000</v>
      </c>
      <c r="D59" s="92"/>
      <c r="E59" s="78"/>
    </row>
    <row r="60" spans="1:5" ht="12.75">
      <c r="A60" s="80"/>
      <c r="B60" s="132" t="s">
        <v>217</v>
      </c>
      <c r="C60" s="92"/>
      <c r="D60" s="92"/>
      <c r="E60" s="78"/>
    </row>
    <row r="61" spans="1:5" ht="12.75">
      <c r="A61" s="80"/>
      <c r="B61" s="132" t="s">
        <v>164</v>
      </c>
      <c r="C61" s="92">
        <f>'Converted TB-3rd Qtr'!O94</f>
        <v>488880.31</v>
      </c>
      <c r="D61" s="92"/>
      <c r="E61" s="78"/>
    </row>
    <row r="62" spans="1:5" ht="12.75">
      <c r="A62" s="80"/>
      <c r="B62" s="132" t="s">
        <v>570</v>
      </c>
      <c r="C62" s="92">
        <f>'Converted TB-3rd Qtr'!O95</f>
        <v>545</v>
      </c>
      <c r="D62" s="92"/>
      <c r="E62" s="78"/>
    </row>
    <row r="63" spans="1:5" ht="12.75">
      <c r="A63" s="80"/>
      <c r="B63" s="132" t="s">
        <v>535</v>
      </c>
      <c r="C63" s="92">
        <f>'Converted TB-3rd Qtr'!O96</f>
        <v>1560</v>
      </c>
      <c r="D63" s="92"/>
      <c r="E63" s="78"/>
    </row>
    <row r="64" spans="1:5" ht="12.75">
      <c r="A64" s="80"/>
      <c r="B64" s="132" t="s">
        <v>536</v>
      </c>
      <c r="C64" s="92">
        <f>'Converted TB-3rd Qtr'!O97</f>
        <v>1180</v>
      </c>
      <c r="D64" s="92"/>
      <c r="E64" s="78"/>
    </row>
    <row r="65" spans="1:5" ht="12.75">
      <c r="A65" s="80"/>
      <c r="B65" s="132" t="s">
        <v>241</v>
      </c>
      <c r="C65" s="92">
        <f>'Converted TB-3rd Qtr'!O100</f>
        <v>150810.91999999998</v>
      </c>
      <c r="D65" s="92"/>
      <c r="E65" s="78"/>
    </row>
    <row r="66" spans="1:5" ht="12.75">
      <c r="A66" s="80"/>
      <c r="B66" s="132" t="s">
        <v>166</v>
      </c>
      <c r="C66" s="91">
        <f>'Converted TB-3rd Qtr'!O101</f>
        <v>5588075.66</v>
      </c>
      <c r="D66" s="92"/>
      <c r="E66" s="78"/>
    </row>
    <row r="67" spans="1:5" ht="12.75">
      <c r="A67" s="80"/>
      <c r="B67" s="133" t="s">
        <v>266</v>
      </c>
      <c r="C67" s="134">
        <f>SUM(C58:C66)</f>
        <v>7495737.04</v>
      </c>
      <c r="D67" s="92"/>
      <c r="E67" s="78"/>
    </row>
    <row r="68" spans="1:5" ht="12.75">
      <c r="A68" s="80"/>
      <c r="B68" s="132"/>
      <c r="C68" s="92"/>
      <c r="D68" s="92"/>
      <c r="E68" s="78"/>
    </row>
    <row r="69" spans="1:5" ht="12.75">
      <c r="A69" s="80"/>
      <c r="B69" s="131" t="s">
        <v>267</v>
      </c>
      <c r="C69" s="92"/>
      <c r="D69" s="92"/>
      <c r="E69" s="78"/>
    </row>
    <row r="70" spans="1:7" ht="12.75">
      <c r="A70" s="80"/>
      <c r="B70" s="132" t="s">
        <v>37</v>
      </c>
      <c r="C70" s="92">
        <f>'Converted TB-3rd Qtr'!O102</f>
        <v>61684.02</v>
      </c>
      <c r="D70" s="92"/>
      <c r="E70" s="78"/>
      <c r="G70" s="81"/>
    </row>
    <row r="71" spans="1:7" ht="12.75">
      <c r="A71" s="80"/>
      <c r="B71" s="132" t="s">
        <v>43</v>
      </c>
      <c r="C71" s="91">
        <f>'Converted TB-3rd Qtr'!O103</f>
        <v>346660.89</v>
      </c>
      <c r="D71" s="92"/>
      <c r="E71" s="78"/>
      <c r="G71" s="81"/>
    </row>
    <row r="72" spans="1:7" ht="12.75">
      <c r="A72" s="80"/>
      <c r="B72" s="133" t="s">
        <v>268</v>
      </c>
      <c r="C72" s="134">
        <f>SUM(C70:C71)</f>
        <v>408344.91000000003</v>
      </c>
      <c r="D72" s="92"/>
      <c r="E72" s="78"/>
      <c r="G72" s="81"/>
    </row>
    <row r="73" spans="1:7" ht="12.75">
      <c r="A73" s="80"/>
      <c r="B73" s="132"/>
      <c r="C73" s="92"/>
      <c r="D73" s="92"/>
      <c r="E73" s="78"/>
      <c r="G73" s="81"/>
    </row>
    <row r="74" spans="1:7" ht="12.75">
      <c r="A74" s="80"/>
      <c r="B74" s="131" t="s">
        <v>269</v>
      </c>
      <c r="C74" s="92"/>
      <c r="D74" s="92"/>
      <c r="E74" s="78"/>
      <c r="G74" s="81"/>
    </row>
    <row r="75" spans="1:7" ht="12.75">
      <c r="A75" s="80"/>
      <c r="B75" s="132" t="s">
        <v>29</v>
      </c>
      <c r="C75" s="92">
        <f>'Converted TB-3rd Qtr'!O104</f>
        <v>77863</v>
      </c>
      <c r="D75" s="92"/>
      <c r="E75" s="78"/>
      <c r="G75" s="81"/>
    </row>
    <row r="76" spans="1:7" ht="12.75">
      <c r="A76" s="80"/>
      <c r="B76" s="132" t="s">
        <v>195</v>
      </c>
      <c r="C76" s="92"/>
      <c r="D76" s="92"/>
      <c r="E76" s="78"/>
      <c r="G76" s="81"/>
    </row>
    <row r="77" spans="1:5" ht="12.75">
      <c r="A77" s="80"/>
      <c r="B77" s="136" t="s">
        <v>270</v>
      </c>
      <c r="C77" s="92">
        <f>'Converted TB-3rd Qtr'!O105</f>
        <v>92698.71</v>
      </c>
      <c r="D77" s="92"/>
      <c r="E77" s="78"/>
    </row>
    <row r="78" spans="1:5" ht="12.75">
      <c r="A78" s="80"/>
      <c r="B78" s="136" t="s">
        <v>271</v>
      </c>
      <c r="C78" s="92">
        <f>'Converted TB-3rd Qtr'!O106</f>
        <v>9369.05</v>
      </c>
      <c r="D78" s="92"/>
      <c r="E78" s="78"/>
    </row>
    <row r="79" spans="1:5" ht="12.75" customHeight="1">
      <c r="A79" s="80"/>
      <c r="B79" s="132" t="s">
        <v>171</v>
      </c>
      <c r="C79" s="92">
        <f>'Converted TB-3rd Qtr'!O107</f>
        <v>54810.21000000001</v>
      </c>
      <c r="D79" s="92"/>
      <c r="E79" s="78"/>
    </row>
    <row r="80" spans="1:5" ht="12.75">
      <c r="A80" s="80"/>
      <c r="B80" s="132" t="s">
        <v>51</v>
      </c>
      <c r="C80" s="91">
        <f>'Converted TB-3rd Qtr'!O108</f>
        <v>19600</v>
      </c>
      <c r="D80" s="92"/>
      <c r="E80" s="78"/>
    </row>
    <row r="81" spans="1:5" ht="12.75">
      <c r="A81" s="80"/>
      <c r="B81" s="133" t="s">
        <v>272</v>
      </c>
      <c r="C81" s="134">
        <f>SUM(C75:C80)</f>
        <v>254340.97000000003</v>
      </c>
      <c r="D81" s="92"/>
      <c r="E81" s="78"/>
    </row>
    <row r="82" spans="1:5" ht="12.75">
      <c r="A82" s="80"/>
      <c r="B82" s="132"/>
      <c r="C82" s="92"/>
      <c r="D82" s="92"/>
      <c r="E82" s="78"/>
    </row>
    <row r="83" spans="1:5" ht="12.75">
      <c r="A83" s="80"/>
      <c r="B83" s="131" t="s">
        <v>541</v>
      </c>
      <c r="C83" s="92"/>
      <c r="D83" s="92"/>
      <c r="E83" s="78"/>
    </row>
    <row r="84" spans="1:5" ht="12.75">
      <c r="A84" s="80"/>
      <c r="B84" s="132" t="s">
        <v>539</v>
      </c>
      <c r="C84" s="91">
        <f>'Converted TB-3rd Qtr'!C98</f>
        <v>0</v>
      </c>
      <c r="D84" s="92"/>
      <c r="E84" s="78"/>
    </row>
    <row r="85" spans="1:5" ht="12.75">
      <c r="A85" s="80"/>
      <c r="B85" s="133" t="s">
        <v>542</v>
      </c>
      <c r="C85" s="134">
        <f>+C84</f>
        <v>0</v>
      </c>
      <c r="D85" s="92"/>
      <c r="E85" s="78"/>
    </row>
    <row r="86" spans="1:5" ht="12.75">
      <c r="A86" s="80"/>
      <c r="B86" s="133"/>
      <c r="C86" s="92"/>
      <c r="D86" s="92"/>
      <c r="E86" s="78"/>
    </row>
    <row r="87" spans="1:5" ht="12.75">
      <c r="A87" s="80"/>
      <c r="B87" s="131" t="s">
        <v>273</v>
      </c>
      <c r="C87" s="92"/>
      <c r="D87" s="92"/>
      <c r="E87" s="78"/>
    </row>
    <row r="88" spans="1:5" ht="12.75" customHeight="1">
      <c r="A88" s="80"/>
      <c r="B88" s="132" t="s">
        <v>193</v>
      </c>
      <c r="C88" s="91">
        <f>'Converted TB-3rd Qtr'!O110</f>
        <v>82500.03</v>
      </c>
      <c r="D88" s="92"/>
      <c r="E88" s="78"/>
    </row>
    <row r="89" spans="1:5" ht="12.75" customHeight="1">
      <c r="A89" s="80"/>
      <c r="B89" s="133" t="s">
        <v>274</v>
      </c>
      <c r="C89" s="134">
        <f>+C88</f>
        <v>82500.03</v>
      </c>
      <c r="D89" s="92"/>
      <c r="E89" s="78"/>
    </row>
    <row r="90" spans="1:5" ht="12.75" customHeight="1">
      <c r="A90" s="80"/>
      <c r="B90" s="132"/>
      <c r="C90" s="92"/>
      <c r="D90" s="92"/>
      <c r="E90" s="78"/>
    </row>
    <row r="91" spans="1:5" ht="12.75" customHeight="1">
      <c r="A91" s="80"/>
      <c r="B91" s="131" t="s">
        <v>275</v>
      </c>
      <c r="C91" s="92"/>
      <c r="D91" s="92"/>
      <c r="E91" s="78"/>
    </row>
    <row r="92" spans="1:5" ht="12.75">
      <c r="A92" s="80"/>
      <c r="B92" s="132" t="s">
        <v>71</v>
      </c>
      <c r="C92" s="92">
        <f>'Converted TB-3rd Qtr'!O111</f>
        <v>900</v>
      </c>
      <c r="D92" s="92"/>
      <c r="E92" s="78"/>
    </row>
    <row r="93" spans="1:5" ht="12.75">
      <c r="A93" s="80"/>
      <c r="B93" s="132" t="s">
        <v>30</v>
      </c>
      <c r="C93" s="92">
        <v>0</v>
      </c>
      <c r="D93" s="92"/>
      <c r="E93" s="78"/>
    </row>
    <row r="94" spans="1:5" ht="12.75">
      <c r="A94" s="80"/>
      <c r="B94" s="132" t="s">
        <v>198</v>
      </c>
      <c r="C94" s="92">
        <f>'Converted TB-3rd Qtr'!O113</f>
        <v>37333.33</v>
      </c>
      <c r="D94" s="92"/>
      <c r="E94" s="78"/>
    </row>
    <row r="95" spans="1:5" ht="12.75">
      <c r="A95" s="80"/>
      <c r="B95" s="132" t="s">
        <v>72</v>
      </c>
      <c r="C95" s="92">
        <f>'Converted TB-3rd Qtr'!O114</f>
        <v>14600</v>
      </c>
      <c r="D95" s="92"/>
      <c r="E95" s="78"/>
    </row>
    <row r="96" spans="1:5" ht="12.75">
      <c r="A96" s="80"/>
      <c r="B96" s="132" t="s">
        <v>65</v>
      </c>
      <c r="C96" s="92">
        <v>0</v>
      </c>
      <c r="D96" s="92"/>
      <c r="E96" s="78"/>
    </row>
    <row r="97" spans="1:5" ht="12.75">
      <c r="A97" s="80"/>
      <c r="B97" s="132" t="s">
        <v>180</v>
      </c>
      <c r="C97" s="91">
        <f>'Converted TB-3rd Qtr'!O116</f>
        <v>586220.4500000001</v>
      </c>
      <c r="D97" s="92"/>
      <c r="E97" s="78"/>
    </row>
    <row r="98" spans="1:5" ht="12.75">
      <c r="A98" s="80"/>
      <c r="B98" s="133" t="s">
        <v>276</v>
      </c>
      <c r="C98" s="134">
        <f>SUM(C92:C97)</f>
        <v>639053.78</v>
      </c>
      <c r="D98" s="92"/>
      <c r="E98" s="78"/>
    </row>
    <row r="99" spans="1:5" ht="12.75">
      <c r="A99" s="80"/>
      <c r="B99" s="132"/>
      <c r="C99" s="92"/>
      <c r="D99" s="92"/>
      <c r="E99" s="78"/>
    </row>
    <row r="100" spans="1:5" ht="12.75">
      <c r="A100" s="80"/>
      <c r="B100" s="131" t="s">
        <v>277</v>
      </c>
      <c r="C100" s="92"/>
      <c r="D100" s="92"/>
      <c r="E100" s="78"/>
    </row>
    <row r="101" spans="1:5" ht="12.75">
      <c r="A101" s="80"/>
      <c r="B101" s="132" t="s">
        <v>184</v>
      </c>
      <c r="C101" s="92">
        <f>'Converted TB-3rd Qtr'!O117</f>
        <v>51468</v>
      </c>
      <c r="D101" s="92">
        <v>309750</v>
      </c>
      <c r="E101" s="78"/>
    </row>
    <row r="102" spans="1:5" ht="12.75" customHeight="1">
      <c r="A102" s="80"/>
      <c r="B102" s="132" t="s">
        <v>186</v>
      </c>
      <c r="C102" s="92"/>
      <c r="D102" s="92">
        <v>566200</v>
      </c>
      <c r="E102" s="78"/>
    </row>
    <row r="103" spans="1:7" ht="12.75">
      <c r="A103" s="80"/>
      <c r="B103" s="132" t="s">
        <v>219</v>
      </c>
      <c r="C103" s="92">
        <f>'Converted TB-3rd Qtr'!O119</f>
        <v>54050</v>
      </c>
      <c r="D103" s="92">
        <v>566200</v>
      </c>
      <c r="E103" s="78"/>
      <c r="G103" s="81"/>
    </row>
    <row r="104" spans="1:7" ht="12.75">
      <c r="A104" s="80"/>
      <c r="B104" s="132" t="s">
        <v>220</v>
      </c>
      <c r="C104" s="92">
        <f>'Converted TB-3rd Qtr'!O120</f>
        <v>1200</v>
      </c>
      <c r="D104" s="92"/>
      <c r="E104" s="78"/>
      <c r="G104" s="81"/>
    </row>
    <row r="105" spans="1:7" ht="12.75">
      <c r="A105" s="80"/>
      <c r="B105" s="132" t="s">
        <v>584</v>
      </c>
      <c r="C105" s="92">
        <f>'Converted TB-3rd Qtr'!O121</f>
        <v>1300</v>
      </c>
      <c r="D105" s="92"/>
      <c r="E105" s="78"/>
      <c r="G105" s="81"/>
    </row>
    <row r="106" spans="1:7" ht="12.75">
      <c r="A106" s="80"/>
      <c r="B106" s="132" t="s">
        <v>188</v>
      </c>
      <c r="C106" s="92"/>
      <c r="D106" s="92"/>
      <c r="E106" s="78"/>
      <c r="G106" s="81"/>
    </row>
    <row r="107" spans="1:7" ht="12.75">
      <c r="A107" s="80"/>
      <c r="B107" s="132" t="s">
        <v>229</v>
      </c>
      <c r="C107" s="92">
        <f>'Converted TB-3rd Qtr'!O123</f>
        <v>270820.63</v>
      </c>
      <c r="D107" s="92"/>
      <c r="E107" s="78"/>
      <c r="G107" s="81"/>
    </row>
    <row r="108" spans="1:7" ht="12.75">
      <c r="A108" s="80"/>
      <c r="B108" s="132" t="s">
        <v>64</v>
      </c>
      <c r="C108" s="92">
        <f>'Converted TB-3rd Qtr'!O124</f>
        <v>170</v>
      </c>
      <c r="D108" s="92"/>
      <c r="E108" s="78"/>
      <c r="G108" s="81"/>
    </row>
    <row r="109" spans="1:7" ht="12.75">
      <c r="A109" s="80"/>
      <c r="B109" s="132" t="s">
        <v>587</v>
      </c>
      <c r="C109" s="91">
        <f>'Converted TB-3rd Qtr'!O125</f>
        <v>24017</v>
      </c>
      <c r="D109" s="92"/>
      <c r="E109" s="78"/>
      <c r="G109" s="81"/>
    </row>
    <row r="110" spans="1:7" ht="12.75">
      <c r="A110" s="80"/>
      <c r="B110" s="133" t="s">
        <v>278</v>
      </c>
      <c r="C110" s="134">
        <f>SUM(C101:C109)</f>
        <v>403025.63</v>
      </c>
      <c r="D110" s="92"/>
      <c r="E110" s="78"/>
      <c r="G110" s="81"/>
    </row>
    <row r="111" spans="1:7" ht="12.75">
      <c r="A111" s="80"/>
      <c r="B111" s="132"/>
      <c r="C111" s="92"/>
      <c r="D111" s="92"/>
      <c r="E111" s="78"/>
      <c r="G111" s="81"/>
    </row>
    <row r="112" spans="1:7" ht="12.75">
      <c r="A112" s="80"/>
      <c r="B112" s="131" t="s">
        <v>279</v>
      </c>
      <c r="C112" s="92"/>
      <c r="D112" s="92"/>
      <c r="E112" s="78"/>
      <c r="G112" s="81"/>
    </row>
    <row r="113" spans="1:7" ht="12.75">
      <c r="A113" s="80"/>
      <c r="B113" s="132" t="s">
        <v>403</v>
      </c>
      <c r="C113" s="92">
        <f>'Converted TB-3rd Qtr'!O126</f>
        <v>17000000</v>
      </c>
      <c r="D113" s="92"/>
      <c r="E113" s="78"/>
      <c r="G113" s="81"/>
    </row>
    <row r="114" spans="1:7" ht="12.75">
      <c r="A114" s="80"/>
      <c r="B114" s="132" t="s">
        <v>233</v>
      </c>
      <c r="C114" s="91">
        <f>'Converted TB-3rd Qtr'!O127</f>
        <v>148137111.42999998</v>
      </c>
      <c r="D114" s="92"/>
      <c r="E114" s="78"/>
      <c r="G114" s="81"/>
    </row>
    <row r="115" spans="1:7" ht="12.75">
      <c r="A115" s="80"/>
      <c r="B115" s="133" t="s">
        <v>280</v>
      </c>
      <c r="C115" s="134">
        <f>SUM(C113:C114)</f>
        <v>165137111.42999998</v>
      </c>
      <c r="D115" s="92"/>
      <c r="E115" s="78"/>
      <c r="G115" s="81"/>
    </row>
    <row r="116" spans="1:7" ht="12.75">
      <c r="A116" s="80"/>
      <c r="B116" s="132"/>
      <c r="C116" s="92"/>
      <c r="D116" s="92"/>
      <c r="E116" s="78"/>
      <c r="G116" s="81"/>
    </row>
    <row r="117" spans="1:7" ht="12.75">
      <c r="A117" s="80"/>
      <c r="B117" s="131" t="s">
        <v>281</v>
      </c>
      <c r="C117" s="92"/>
      <c r="D117" s="92"/>
      <c r="E117" s="78"/>
      <c r="G117" s="81"/>
    </row>
    <row r="118" spans="1:7" ht="12.75">
      <c r="A118" s="80"/>
      <c r="B118" s="132" t="s">
        <v>69</v>
      </c>
      <c r="C118" s="92">
        <f>'Converted TB-3rd Qtr'!O128</f>
        <v>48750</v>
      </c>
      <c r="D118" s="92"/>
      <c r="E118" s="78"/>
      <c r="G118" s="81"/>
    </row>
    <row r="119" spans="1:7" ht="12.75">
      <c r="A119" s="80"/>
      <c r="B119" s="132" t="s">
        <v>543</v>
      </c>
      <c r="C119" s="92"/>
      <c r="D119" s="92"/>
      <c r="E119" s="78"/>
      <c r="G119" s="81"/>
    </row>
    <row r="120" spans="1:7" ht="12.75">
      <c r="A120" s="80"/>
      <c r="B120" s="132" t="s">
        <v>73</v>
      </c>
      <c r="C120" s="91">
        <f>'Converted TB-3rd Qtr'!O131</f>
        <v>9746.7</v>
      </c>
      <c r="D120" s="92"/>
      <c r="E120" s="78"/>
      <c r="G120" s="81"/>
    </row>
    <row r="121" spans="1:7" ht="12.75">
      <c r="A121" s="80"/>
      <c r="B121" s="131" t="s">
        <v>282</v>
      </c>
      <c r="C121" s="134">
        <f>SUM(C118:C120)</f>
        <v>58496.7</v>
      </c>
      <c r="D121" s="92"/>
      <c r="E121" s="78"/>
      <c r="G121" s="81"/>
    </row>
    <row r="122" spans="1:7" ht="12.75">
      <c r="A122" s="80"/>
      <c r="B122" s="132"/>
      <c r="C122" s="92"/>
      <c r="D122" s="92"/>
      <c r="E122" s="78"/>
      <c r="G122" s="81"/>
    </row>
    <row r="123" spans="1:7" ht="12.75">
      <c r="A123" s="80"/>
      <c r="B123" s="131" t="s">
        <v>23</v>
      </c>
      <c r="C123" s="92"/>
      <c r="D123" s="92"/>
      <c r="E123" s="78"/>
      <c r="G123" s="81"/>
    </row>
    <row r="124" spans="1:7" ht="12.75">
      <c r="A124" s="80"/>
      <c r="B124" s="132" t="s">
        <v>38</v>
      </c>
      <c r="C124" s="92">
        <f>'Converted TB-3rd Qtr'!O132</f>
        <v>3000</v>
      </c>
      <c r="D124" s="92"/>
      <c r="E124" s="78"/>
      <c r="G124" s="81"/>
    </row>
    <row r="125" spans="1:7" ht="12.75">
      <c r="A125" s="80"/>
      <c r="B125" s="132" t="s">
        <v>62</v>
      </c>
      <c r="C125" s="92">
        <f>'Converted TB-3rd Qtr'!O133</f>
        <v>123624.56</v>
      </c>
      <c r="D125" s="92"/>
      <c r="E125" s="78"/>
      <c r="G125" s="81"/>
    </row>
    <row r="126" spans="1:7" ht="12.75">
      <c r="A126" s="80"/>
      <c r="B126" s="132" t="s">
        <v>63</v>
      </c>
      <c r="C126" s="92">
        <f>'Converted TB-3rd Qtr'!O134</f>
        <v>150575.1</v>
      </c>
      <c r="D126" s="92"/>
      <c r="E126" s="78"/>
      <c r="G126" s="81"/>
    </row>
    <row r="127" spans="1:5" ht="12.75">
      <c r="A127" s="80"/>
      <c r="B127" s="132" t="s">
        <v>53</v>
      </c>
      <c r="C127" s="92">
        <f>'Converted TB-3rd Qtr'!O136</f>
        <v>365725.52</v>
      </c>
      <c r="D127" s="92"/>
      <c r="E127" s="78"/>
    </row>
    <row r="128" spans="1:5" ht="12.75">
      <c r="A128" s="80"/>
      <c r="B128" s="132" t="s">
        <v>68</v>
      </c>
      <c r="C128" s="92">
        <f>'Converted TB-3rd Qtr'!C122</f>
        <v>0</v>
      </c>
      <c r="D128" s="92"/>
      <c r="E128" s="78"/>
    </row>
    <row r="129" spans="1:5" ht="12.75">
      <c r="A129" s="80"/>
      <c r="B129" s="132" t="s">
        <v>244</v>
      </c>
      <c r="C129" s="92">
        <v>0</v>
      </c>
      <c r="D129" s="92"/>
      <c r="E129" s="78"/>
    </row>
    <row r="130" spans="1:5" ht="12.75">
      <c r="A130" s="80"/>
      <c r="B130" s="132" t="s">
        <v>23</v>
      </c>
      <c r="C130" s="91">
        <f>'Converted TB-3rd Qtr'!O139</f>
        <v>875814.74</v>
      </c>
      <c r="D130" s="92"/>
      <c r="E130" s="78"/>
    </row>
    <row r="131" spans="1:5" ht="12.75">
      <c r="A131" s="80"/>
      <c r="B131" s="131" t="s">
        <v>283</v>
      </c>
      <c r="C131" s="134">
        <f>SUM(C124:C130)</f>
        <v>1518739.92</v>
      </c>
      <c r="D131" s="92"/>
      <c r="E131" s="78"/>
    </row>
    <row r="132" spans="1:5" ht="12.75">
      <c r="A132" s="80"/>
      <c r="B132" s="132"/>
      <c r="C132" s="92"/>
      <c r="D132" s="92"/>
      <c r="E132" s="78"/>
    </row>
    <row r="133" spans="1:5" ht="12.75">
      <c r="A133" s="80"/>
      <c r="B133" s="131" t="s">
        <v>284</v>
      </c>
      <c r="C133" s="92"/>
      <c r="D133" s="92"/>
      <c r="E133" s="78"/>
    </row>
    <row r="134" spans="1:7" ht="12.75">
      <c r="A134" s="80"/>
      <c r="B134" s="132" t="s">
        <v>245</v>
      </c>
      <c r="C134" s="91">
        <f>'Converted TB-3rd Qtr'!O140</f>
        <v>3326</v>
      </c>
      <c r="D134" s="92">
        <v>124944.7</v>
      </c>
      <c r="E134" s="78"/>
      <c r="G134" s="81">
        <f>SUM(C34:C134)</f>
        <v>380590437.67999995</v>
      </c>
    </row>
    <row r="135" spans="1:7" ht="12.75">
      <c r="A135" s="80"/>
      <c r="B135" s="133" t="s">
        <v>286</v>
      </c>
      <c r="C135" s="134">
        <f>+C134</f>
        <v>3326</v>
      </c>
      <c r="D135" s="92"/>
      <c r="E135" s="78"/>
      <c r="G135" s="81"/>
    </row>
    <row r="136" spans="1:7" ht="12.75">
      <c r="A136" s="80"/>
      <c r="B136" s="132"/>
      <c r="C136" s="92"/>
      <c r="D136" s="92"/>
      <c r="E136" s="78"/>
      <c r="G136" s="81"/>
    </row>
    <row r="137" spans="1:7" ht="12.75" hidden="1">
      <c r="A137" s="80"/>
      <c r="B137" s="131" t="s">
        <v>285</v>
      </c>
      <c r="C137" s="92"/>
      <c r="D137" s="92"/>
      <c r="E137" s="78"/>
      <c r="G137" s="81"/>
    </row>
    <row r="138" spans="1:7" ht="12.75" hidden="1">
      <c r="A138" s="80"/>
      <c r="B138" s="135" t="s">
        <v>214</v>
      </c>
      <c r="C138" s="92">
        <f>'ConvertedTB 2QTR'!C120</f>
        <v>0</v>
      </c>
      <c r="D138" s="92"/>
      <c r="E138" s="78"/>
      <c r="G138" s="81"/>
    </row>
    <row r="139" spans="1:7" ht="12.75" hidden="1">
      <c r="A139" s="80"/>
      <c r="B139" s="135" t="s">
        <v>77</v>
      </c>
      <c r="C139" s="92">
        <v>0</v>
      </c>
      <c r="D139" s="92"/>
      <c r="E139" s="78"/>
      <c r="G139" s="81"/>
    </row>
    <row r="140" spans="1:7" ht="12.75" hidden="1">
      <c r="A140" s="80"/>
      <c r="B140" s="135" t="s">
        <v>78</v>
      </c>
      <c r="C140" s="92">
        <f>'ConvertedTB 2QTR'!C122</f>
        <v>351036.95999999996</v>
      </c>
      <c r="D140" s="92"/>
      <c r="E140" s="78"/>
      <c r="G140" s="81"/>
    </row>
    <row r="141" spans="1:7" ht="12.75" hidden="1">
      <c r="A141" s="80"/>
      <c r="B141" s="135" t="s">
        <v>79</v>
      </c>
      <c r="C141" s="92">
        <v>0</v>
      </c>
      <c r="D141" s="92"/>
      <c r="E141" s="78"/>
      <c r="G141" s="81"/>
    </row>
    <row r="142" spans="1:7" ht="12.75" hidden="1">
      <c r="A142" s="80"/>
      <c r="B142" s="135" t="s">
        <v>80</v>
      </c>
      <c r="C142" s="92">
        <v>0</v>
      </c>
      <c r="D142" s="92"/>
      <c r="E142" s="78"/>
      <c r="G142" s="81"/>
    </row>
    <row r="143" spans="1:7" ht="12.75" hidden="1">
      <c r="A143" s="80"/>
      <c r="B143" s="135" t="s">
        <v>81</v>
      </c>
      <c r="C143" s="92">
        <v>0</v>
      </c>
      <c r="D143" s="92"/>
      <c r="E143" s="78"/>
      <c r="G143" s="81"/>
    </row>
    <row r="144" spans="1:7" ht="12.75" hidden="1">
      <c r="A144" s="80"/>
      <c r="B144" s="135" t="s">
        <v>82</v>
      </c>
      <c r="C144" s="91">
        <v>0</v>
      </c>
      <c r="D144" s="92"/>
      <c r="E144" s="78"/>
      <c r="G144" s="81"/>
    </row>
    <row r="145" spans="1:7" ht="12.75" hidden="1">
      <c r="A145" s="80"/>
      <c r="B145" s="133" t="s">
        <v>287</v>
      </c>
      <c r="C145" s="134">
        <f>SUM(C138:C144)</f>
        <v>351036.95999999996</v>
      </c>
      <c r="D145" s="92"/>
      <c r="E145" s="78"/>
      <c r="G145" s="81"/>
    </row>
    <row r="146" spans="1:7" ht="12.75" hidden="1">
      <c r="A146" s="80"/>
      <c r="B146" s="133"/>
      <c r="C146" s="134"/>
      <c r="D146" s="92"/>
      <c r="E146" s="78"/>
      <c r="G146" s="81"/>
    </row>
    <row r="147" spans="1:7" ht="12.75">
      <c r="A147" s="80"/>
      <c r="B147" s="80" t="s">
        <v>544</v>
      </c>
      <c r="C147" s="137">
        <f>C50+C55+C67+C72+C81+C85+C89+C98+C110+C115+C121+C131+C135+C145</f>
        <v>181871458.00999996</v>
      </c>
      <c r="D147" s="92"/>
      <c r="E147" s="78"/>
      <c r="G147" s="81"/>
    </row>
    <row r="148" spans="1:8" ht="12.75">
      <c r="A148" s="3"/>
      <c r="B148" s="3"/>
      <c r="C148" s="82"/>
      <c r="D148" s="83"/>
      <c r="E148" s="79"/>
      <c r="F148" s="3"/>
      <c r="G148" s="84"/>
      <c r="H148" s="83"/>
    </row>
    <row r="149" spans="1:8" ht="12.75">
      <c r="A149" s="3"/>
      <c r="B149" s="3" t="s">
        <v>289</v>
      </c>
      <c r="C149" s="82">
        <f>+C147+C44</f>
        <v>195623882.92999995</v>
      </c>
      <c r="D149" s="83"/>
      <c r="E149" s="79"/>
      <c r="F149" s="3"/>
      <c r="G149" s="84"/>
      <c r="H149" s="83"/>
    </row>
    <row r="150" spans="1:8" ht="12.75">
      <c r="A150" s="3"/>
      <c r="B150" s="3"/>
      <c r="C150" s="82"/>
      <c r="D150" s="83"/>
      <c r="E150" s="79"/>
      <c r="F150" s="3"/>
      <c r="G150" s="84"/>
      <c r="H150" s="83"/>
    </row>
    <row r="151" spans="1:8" ht="12.75">
      <c r="A151" s="3"/>
      <c r="B151" s="80" t="s">
        <v>290</v>
      </c>
      <c r="C151" s="82">
        <f>-C149</f>
        <v>-195623882.92999995</v>
      </c>
      <c r="D151" s="83"/>
      <c r="E151" s="79"/>
      <c r="F151" s="3"/>
      <c r="G151" s="84"/>
      <c r="H151" s="83"/>
    </row>
    <row r="152" spans="1:8" ht="12.75">
      <c r="A152" s="3"/>
      <c r="B152" s="80"/>
      <c r="C152" s="82"/>
      <c r="D152" s="83"/>
      <c r="E152" s="79"/>
      <c r="F152" s="3"/>
      <c r="G152" s="84"/>
      <c r="H152" s="83"/>
    </row>
    <row r="153" spans="1:8" ht="12.75" customHeight="1">
      <c r="A153" s="553" t="s">
        <v>291</v>
      </c>
      <c r="B153" s="553"/>
      <c r="C153" s="138"/>
      <c r="D153" s="138"/>
      <c r="E153" s="138"/>
      <c r="F153" s="138"/>
      <c r="G153" s="77"/>
      <c r="H153" s="83"/>
    </row>
    <row r="154" spans="1:8" ht="12.75" customHeight="1">
      <c r="A154" s="139"/>
      <c r="B154" s="143" t="s">
        <v>142</v>
      </c>
      <c r="C154" s="142">
        <f>'Converted TB-3rd Qtr'!P62</f>
        <v>197254234.29</v>
      </c>
      <c r="D154" s="138"/>
      <c r="E154" s="138"/>
      <c r="F154" s="138"/>
      <c r="G154" s="77"/>
      <c r="H154" s="83"/>
    </row>
    <row r="155" spans="1:8" ht="12.75" customHeight="1">
      <c r="A155" s="139"/>
      <c r="B155" s="140"/>
      <c r="C155" s="141"/>
      <c r="D155" s="138"/>
      <c r="E155" s="138"/>
      <c r="F155" s="138"/>
      <c r="G155" s="77"/>
      <c r="H155" s="83"/>
    </row>
    <row r="156" spans="1:8" ht="12.75">
      <c r="A156" s="3"/>
      <c r="B156" s="80" t="s">
        <v>292</v>
      </c>
      <c r="C156" s="145">
        <f>+C154</f>
        <v>197254234.29</v>
      </c>
      <c r="D156" s="83"/>
      <c r="E156" s="79"/>
      <c r="F156" s="3"/>
      <c r="G156" s="84"/>
      <c r="H156" s="83"/>
    </row>
    <row r="157" spans="1:8" ht="16.5" customHeight="1" thickBot="1">
      <c r="A157" s="80" t="s">
        <v>293</v>
      </c>
      <c r="B157" s="3"/>
      <c r="C157" s="144">
        <f>+C151+C156</f>
        <v>1630351.360000044</v>
      </c>
      <c r="D157" s="83"/>
      <c r="E157" s="95"/>
      <c r="F157" s="3"/>
      <c r="G157" s="85"/>
      <c r="H157" s="83"/>
    </row>
    <row r="158" spans="1:8" ht="15.75" customHeight="1" thickTop="1">
      <c r="A158" s="2"/>
      <c r="B158" s="2"/>
      <c r="C158" s="83"/>
      <c r="D158" s="83"/>
      <c r="E158" s="86"/>
      <c r="F158" s="3"/>
      <c r="G158" s="85"/>
      <c r="H158" s="83"/>
    </row>
    <row r="159" spans="1:8" ht="10.5" customHeight="1">
      <c r="A159" s="2"/>
      <c r="B159" s="2"/>
      <c r="C159" s="83"/>
      <c r="D159" s="83"/>
      <c r="E159" s="86"/>
      <c r="F159" s="3"/>
      <c r="G159" s="85"/>
      <c r="H159" s="83"/>
    </row>
    <row r="160" spans="1:5" ht="12.75">
      <c r="A160" s="16" t="s">
        <v>25</v>
      </c>
      <c r="C160" s="1" t="s">
        <v>55</v>
      </c>
      <c r="D160" s="78"/>
      <c r="E160" s="78"/>
    </row>
    <row r="161" spans="1:5" ht="12.75">
      <c r="A161" s="16"/>
      <c r="C161" s="99"/>
      <c r="D161" s="87"/>
      <c r="E161" s="87"/>
    </row>
    <row r="162" spans="1:5" ht="12.75">
      <c r="A162" s="16"/>
      <c r="C162" s="100"/>
      <c r="D162" s="16"/>
      <c r="E162" s="16"/>
    </row>
    <row r="163" spans="1:5" ht="12.75">
      <c r="A163" s="17" t="s">
        <v>222</v>
      </c>
      <c r="C163" s="20" t="s">
        <v>628</v>
      </c>
      <c r="E163" s="88"/>
    </row>
    <row r="164" spans="1:5" ht="12.75">
      <c r="A164" s="16" t="s">
        <v>630</v>
      </c>
      <c r="C164" s="1" t="s">
        <v>629</v>
      </c>
      <c r="E164" s="88"/>
    </row>
    <row r="165" ht="12.75">
      <c r="A165" s="30"/>
    </row>
  </sheetData>
  <sheetProtection/>
  <mergeCells count="5">
    <mergeCell ref="A1:E1"/>
    <mergeCell ref="A2:E2"/>
    <mergeCell ref="A3:E3"/>
    <mergeCell ref="A4:E4"/>
    <mergeCell ref="A153:B153"/>
  </mergeCells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">
      <selection activeCell="A27" sqref="A27:D28"/>
    </sheetView>
  </sheetViews>
  <sheetFormatPr defaultColWidth="9.140625" defaultRowHeight="12.75"/>
  <cols>
    <col min="1" max="1" width="4.00390625" style="1" customWidth="1"/>
    <col min="2" max="2" width="40.140625" style="1" customWidth="1"/>
    <col min="3" max="3" width="16.28125" style="1" customWidth="1"/>
    <col min="4" max="4" width="1.7109375" style="1" customWidth="1"/>
    <col min="5" max="5" width="16.57421875" style="1" customWidth="1"/>
    <col min="6" max="16384" width="9.140625" style="1" customWidth="1"/>
  </cols>
  <sheetData>
    <row r="1" spans="1:5" ht="12.75">
      <c r="A1" s="551" t="s">
        <v>1</v>
      </c>
      <c r="B1" s="551"/>
      <c r="C1" s="551"/>
      <c r="D1" s="551"/>
      <c r="E1" s="551"/>
    </row>
    <row r="2" spans="1:5" ht="12.75">
      <c r="A2" s="551" t="s">
        <v>91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tr">
        <f>'DetSFPerf-3rd Qtr'!A4</f>
        <v>For the Month Ended September 30, 2018</v>
      </c>
      <c r="B4" s="552"/>
      <c r="C4" s="552"/>
      <c r="D4" s="552"/>
      <c r="E4" s="552"/>
    </row>
    <row r="7" ht="12.75">
      <c r="E7" s="94"/>
    </row>
    <row r="8" spans="1:5" ht="12.75">
      <c r="A8" s="2" t="s">
        <v>247</v>
      </c>
      <c r="C8" s="147">
        <v>0</v>
      </c>
      <c r="E8" s="78"/>
    </row>
    <row r="9" spans="3:5" ht="12.75">
      <c r="C9" s="78"/>
      <c r="D9" s="78"/>
      <c r="E9" s="94"/>
    </row>
    <row r="10" spans="3:5" ht="12.75">
      <c r="C10" s="78"/>
      <c r="D10" s="78"/>
      <c r="E10" s="78"/>
    </row>
    <row r="11" spans="1:5" ht="12.75">
      <c r="A11" s="2" t="s">
        <v>294</v>
      </c>
      <c r="C11" s="78"/>
      <c r="D11" s="78"/>
      <c r="E11" s="78"/>
    </row>
    <row r="12" spans="2:5" ht="12.75">
      <c r="B12" s="3" t="s">
        <v>92</v>
      </c>
      <c r="C12" s="93">
        <f>'DetSFPerf-3rd Qtr'!C44</f>
        <v>13752424.919999998</v>
      </c>
      <c r="D12" s="79"/>
      <c r="E12" s="78"/>
    </row>
    <row r="13" spans="2:5" ht="12.75">
      <c r="B13" s="3" t="s">
        <v>93</v>
      </c>
      <c r="C13" s="93">
        <f>'DetSFPerf-3rd Qtr'!C147-3326</f>
        <v>181868132.00999996</v>
      </c>
      <c r="D13" s="79"/>
      <c r="E13" s="79"/>
    </row>
    <row r="14" spans="2:5" ht="12.75">
      <c r="B14" s="3" t="s">
        <v>284</v>
      </c>
      <c r="C14" s="93">
        <f>'DetSFPerf-3rd Qtr'!C135</f>
        <v>3326</v>
      </c>
      <c r="D14" s="79"/>
      <c r="E14" s="79"/>
    </row>
    <row r="15" spans="2:5" ht="12.75">
      <c r="B15" s="3" t="s">
        <v>285</v>
      </c>
      <c r="C15" s="147">
        <f>'DetSFPerf 2nd Qtr'!C133</f>
        <v>0</v>
      </c>
      <c r="D15" s="79"/>
      <c r="E15" s="79"/>
    </row>
    <row r="16" spans="1:5" ht="21" customHeight="1">
      <c r="A16" s="2" t="s">
        <v>288</v>
      </c>
      <c r="B16" s="2"/>
      <c r="C16" s="148">
        <f>SUM(C12:C15)</f>
        <v>195623882.92999995</v>
      </c>
      <c r="D16" s="2"/>
      <c r="E16" s="95"/>
    </row>
    <row r="17" ht="12.75">
      <c r="E17" s="79"/>
    </row>
    <row r="18" spans="1:5" ht="12.75">
      <c r="A18" s="2" t="s">
        <v>290</v>
      </c>
      <c r="C18" s="149">
        <f>+C8-C16</f>
        <v>-195623882.92999995</v>
      </c>
      <c r="E18" s="78"/>
    </row>
    <row r="19" ht="12.75">
      <c r="E19" s="78"/>
    </row>
    <row r="20" spans="1:5" ht="12.75">
      <c r="A20" s="2" t="s">
        <v>292</v>
      </c>
      <c r="C20" s="147">
        <f>'DetSFPerf-3rd Qtr'!C154</f>
        <v>197254234.29</v>
      </c>
      <c r="E20" s="78"/>
    </row>
    <row r="21" spans="1:5" ht="13.5" thickBot="1">
      <c r="A21" s="2" t="s">
        <v>293</v>
      </c>
      <c r="C21" s="150">
        <f>+C18+C20</f>
        <v>1630351.360000044</v>
      </c>
      <c r="E21" s="78"/>
    </row>
    <row r="22" spans="1:5" ht="13.5" thickTop="1">
      <c r="A22" s="2"/>
      <c r="C22" s="89"/>
      <c r="E22" s="78"/>
    </row>
    <row r="23" ht="12.75">
      <c r="E23" s="78"/>
    </row>
    <row r="24" spans="1:8" s="77" customFormat="1" ht="12.75">
      <c r="A24" s="16" t="s">
        <v>25</v>
      </c>
      <c r="C24" s="1" t="s">
        <v>55</v>
      </c>
      <c r="D24" s="78"/>
      <c r="E24" s="78"/>
      <c r="F24" s="76"/>
      <c r="G24" s="76"/>
      <c r="H24" s="76"/>
    </row>
    <row r="25" spans="1:8" s="77" customFormat="1" ht="12.75">
      <c r="A25" s="16"/>
      <c r="C25" s="99"/>
      <c r="D25" s="87"/>
      <c r="E25" s="87"/>
      <c r="F25" s="76"/>
      <c r="G25" s="76"/>
      <c r="H25" s="76"/>
    </row>
    <row r="26" spans="1:8" s="77" customFormat="1" ht="12.75">
      <c r="A26" s="16"/>
      <c r="C26" s="100"/>
      <c r="D26" s="16"/>
      <c r="E26" s="16"/>
      <c r="F26" s="76"/>
      <c r="G26" s="76"/>
      <c r="H26" s="76"/>
    </row>
    <row r="27" spans="1:8" s="77" customFormat="1" ht="12.75">
      <c r="A27" s="17" t="s">
        <v>222</v>
      </c>
      <c r="C27" s="20" t="s">
        <v>628</v>
      </c>
      <c r="E27" s="88"/>
      <c r="F27" s="76"/>
      <c r="G27" s="76"/>
      <c r="H27" s="76"/>
    </row>
    <row r="28" spans="1:8" s="77" customFormat="1" ht="12.75">
      <c r="A28" s="16" t="s">
        <v>630</v>
      </c>
      <c r="C28" s="1" t="s">
        <v>629</v>
      </c>
      <c r="E28" s="88"/>
      <c r="F28" s="76"/>
      <c r="G28" s="76"/>
      <c r="H28" s="76"/>
    </row>
    <row r="29" ht="12.75">
      <c r="E29" s="78"/>
    </row>
    <row r="30" ht="12.75">
      <c r="E30" s="78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34"/>
  <sheetViews>
    <sheetView zoomScalePageLayoutView="0" workbookViewId="0" topLeftCell="A48">
      <selection activeCell="F76" sqref="F76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3.421875" style="1" customWidth="1"/>
    <col min="4" max="4" width="54.421875" style="1" customWidth="1"/>
    <col min="5" max="5" width="10.00390625" style="1" customWidth="1"/>
    <col min="6" max="6" width="18.00390625" style="1" customWidth="1"/>
    <col min="7" max="7" width="1.7109375" style="1" customWidth="1"/>
    <col min="8" max="8" width="18.28125" style="1" customWidth="1"/>
    <col min="9" max="9" width="9.140625" style="89" customWidth="1"/>
    <col min="10" max="10" width="25.00390625" style="89" customWidth="1"/>
    <col min="11" max="11" width="9.140625" style="89" customWidth="1"/>
    <col min="12" max="16384" width="9.140625" style="1" customWidth="1"/>
  </cols>
  <sheetData>
    <row r="1" spans="1:8" ht="15">
      <c r="A1" s="555" t="s">
        <v>1</v>
      </c>
      <c r="B1" s="555"/>
      <c r="C1" s="555"/>
      <c r="D1" s="555"/>
      <c r="E1" s="555"/>
      <c r="F1" s="555"/>
      <c r="G1" s="96"/>
      <c r="H1" s="96"/>
    </row>
    <row r="2" spans="1:8" ht="12.75">
      <c r="A2" s="551" t="s">
        <v>295</v>
      </c>
      <c r="B2" s="551"/>
      <c r="C2" s="551"/>
      <c r="D2" s="551"/>
      <c r="E2" s="551"/>
      <c r="F2" s="551"/>
      <c r="G2" s="87"/>
      <c r="H2" s="87"/>
    </row>
    <row r="3" spans="1:8" ht="12.75">
      <c r="A3" s="552" t="s">
        <v>215</v>
      </c>
      <c r="B3" s="552"/>
      <c r="C3" s="552"/>
      <c r="D3" s="552"/>
      <c r="E3" s="552"/>
      <c r="F3" s="552"/>
      <c r="G3" s="16"/>
      <c r="H3" s="16"/>
    </row>
    <row r="4" spans="1:8" ht="12.75">
      <c r="A4" s="552" t="s">
        <v>626</v>
      </c>
      <c r="B4" s="552"/>
      <c r="C4" s="552"/>
      <c r="D4" s="552"/>
      <c r="E4" s="552"/>
      <c r="F4" s="552"/>
      <c r="G4" s="16"/>
      <c r="H4" s="16"/>
    </row>
    <row r="6" spans="1:8" ht="15">
      <c r="A6" s="96" t="s">
        <v>9</v>
      </c>
      <c r="B6" s="96"/>
      <c r="C6" s="96"/>
      <c r="D6" s="96"/>
      <c r="E6" s="96"/>
      <c r="F6" s="96"/>
      <c r="G6" s="96"/>
      <c r="H6" s="96"/>
    </row>
    <row r="7" spans="6:8" ht="12.75">
      <c r="F7" s="78"/>
      <c r="G7" s="78"/>
      <c r="H7" s="78"/>
    </row>
    <row r="8" spans="1:8" ht="15">
      <c r="A8" s="90" t="s">
        <v>83</v>
      </c>
      <c r="F8" s="78"/>
      <c r="G8" s="78"/>
      <c r="H8" s="78"/>
    </row>
    <row r="9" spans="1:8" ht="12.75">
      <c r="A9" s="159"/>
      <c r="B9" s="176" t="s">
        <v>296</v>
      </c>
      <c r="C9" s="151"/>
      <c r="D9" s="153"/>
      <c r="E9" s="160"/>
      <c r="F9" s="216">
        <f>+F10+F13+F16</f>
        <v>24628196.85000001</v>
      </c>
      <c r="G9" s="78"/>
      <c r="H9" s="78"/>
    </row>
    <row r="10" spans="1:8" ht="12.75">
      <c r="A10" s="161"/>
      <c r="B10" s="173"/>
      <c r="C10" s="168" t="s">
        <v>297</v>
      </c>
      <c r="D10" s="152"/>
      <c r="E10" s="152"/>
      <c r="F10" s="217">
        <f>+F11</f>
        <v>35000</v>
      </c>
      <c r="G10" s="79"/>
      <c r="H10" s="79"/>
    </row>
    <row r="11" spans="1:8" ht="12.75">
      <c r="A11" s="161"/>
      <c r="B11" s="173"/>
      <c r="C11" s="168"/>
      <c r="D11" s="162" t="s">
        <v>101</v>
      </c>
      <c r="E11" s="152"/>
      <c r="F11" s="216">
        <f>'Converted TB-3rd Qtr'!O16</f>
        <v>35000</v>
      </c>
      <c r="G11" s="79"/>
      <c r="H11" s="79"/>
    </row>
    <row r="12" spans="1:8" ht="12.75" customHeight="1">
      <c r="A12" s="161"/>
      <c r="B12" s="173"/>
      <c r="C12" s="168"/>
      <c r="D12" s="152"/>
      <c r="E12" s="152"/>
      <c r="F12" s="216"/>
      <c r="G12" s="79"/>
      <c r="H12" s="79"/>
    </row>
    <row r="13" spans="1:8" ht="12.75" customHeight="1">
      <c r="A13" s="164"/>
      <c r="B13" s="164"/>
      <c r="C13" s="168" t="s">
        <v>298</v>
      </c>
      <c r="D13" s="152"/>
      <c r="E13" s="152"/>
      <c r="F13" s="217">
        <f>+F14</f>
        <v>233908.5</v>
      </c>
      <c r="G13" s="79"/>
      <c r="H13" s="79"/>
    </row>
    <row r="14" spans="1:8" ht="12.75">
      <c r="A14" s="164"/>
      <c r="B14" s="164"/>
      <c r="C14" s="168"/>
      <c r="D14" s="177" t="s">
        <v>299</v>
      </c>
      <c r="E14" s="152"/>
      <c r="F14" s="216">
        <f>'Converted TB-3rd Qtr'!O18</f>
        <v>233908.5</v>
      </c>
      <c r="G14" s="79"/>
      <c r="H14" s="79"/>
    </row>
    <row r="15" spans="1:8" ht="12.75">
      <c r="A15" s="164"/>
      <c r="B15" s="164"/>
      <c r="C15" s="168"/>
      <c r="D15" s="177"/>
      <c r="E15" s="152"/>
      <c r="F15" s="216"/>
      <c r="G15" s="79"/>
      <c r="H15" s="79"/>
    </row>
    <row r="16" spans="1:8" ht="12.75">
      <c r="A16" s="161"/>
      <c r="B16" s="172"/>
      <c r="C16" s="168" t="s">
        <v>300</v>
      </c>
      <c r="D16" s="168"/>
      <c r="E16" s="152"/>
      <c r="F16" s="217">
        <f>F17+F18+F19</f>
        <v>24359288.35000001</v>
      </c>
      <c r="G16" s="79"/>
      <c r="H16" s="79"/>
    </row>
    <row r="17" spans="1:8" ht="12.75">
      <c r="A17" s="161"/>
      <c r="B17" s="172"/>
      <c r="C17" s="168"/>
      <c r="D17" s="168" t="s">
        <v>510</v>
      </c>
      <c r="E17" s="152"/>
      <c r="F17" s="216">
        <f>'Converted TB-3rd Qtr'!O14</f>
        <v>10504288.35</v>
      </c>
      <c r="G17" s="79"/>
      <c r="H17" s="79"/>
    </row>
    <row r="18" spans="1:8" ht="12.75">
      <c r="A18" s="161"/>
      <c r="B18" s="172"/>
      <c r="C18" s="168"/>
      <c r="D18" s="291" t="s">
        <v>588</v>
      </c>
      <c r="E18" s="152"/>
      <c r="F18" s="216">
        <f>'Converted TB-3rd Qtr'!O15</f>
        <v>13855000</v>
      </c>
      <c r="G18" s="79"/>
      <c r="H18" s="79"/>
    </row>
    <row r="19" spans="1:8" ht="12.75">
      <c r="A19" s="161"/>
      <c r="B19" s="172"/>
      <c r="C19" s="168"/>
      <c r="D19" s="162" t="s">
        <v>301</v>
      </c>
      <c r="E19" s="152"/>
      <c r="F19" s="216">
        <f>'Converted TB-3rd Qtr'!O17</f>
        <v>8.642928150948137E-09</v>
      </c>
      <c r="G19" s="79"/>
      <c r="H19" s="79"/>
    </row>
    <row r="20" spans="1:8" ht="12.75">
      <c r="A20" s="161"/>
      <c r="B20" s="172"/>
      <c r="C20" s="168"/>
      <c r="D20" s="152"/>
      <c r="E20" s="152"/>
      <c r="F20" s="216"/>
      <c r="G20" s="79"/>
      <c r="H20" s="79"/>
    </row>
    <row r="21" spans="1:8" ht="12.75">
      <c r="A21" s="159"/>
      <c r="B21" s="169"/>
      <c r="C21" s="170"/>
      <c r="D21" s="170"/>
      <c r="E21" s="152"/>
      <c r="F21" s="216"/>
      <c r="G21" s="79"/>
      <c r="H21" s="95"/>
    </row>
    <row r="22" spans="1:8" ht="12.75">
      <c r="A22" s="156"/>
      <c r="B22" s="176" t="s">
        <v>85</v>
      </c>
      <c r="C22" s="151"/>
      <c r="D22" s="151"/>
      <c r="E22" s="160"/>
      <c r="F22" s="217">
        <f>+F23+F26+F31</f>
        <v>913099.95</v>
      </c>
      <c r="G22" s="78"/>
      <c r="H22" s="78"/>
    </row>
    <row r="23" spans="1:8" ht="12.75">
      <c r="A23" s="156"/>
      <c r="B23" s="176"/>
      <c r="C23" s="168" t="s">
        <v>303</v>
      </c>
      <c r="D23" s="151"/>
      <c r="E23" s="160"/>
      <c r="F23" s="217">
        <f>+F24</f>
        <v>0</v>
      </c>
      <c r="G23" s="78"/>
      <c r="H23" s="78"/>
    </row>
    <row r="24" spans="1:8" ht="12.75">
      <c r="A24" s="156"/>
      <c r="B24" s="176"/>
      <c r="C24" s="151"/>
      <c r="D24" s="162" t="s">
        <v>225</v>
      </c>
      <c r="E24" s="160"/>
      <c r="F24" s="218">
        <f>'Converted TB-3rd Qtr'!O20</f>
        <v>0</v>
      </c>
      <c r="G24" s="78"/>
      <c r="H24" s="78"/>
    </row>
    <row r="25" spans="1:8" ht="12.75">
      <c r="A25" s="156"/>
      <c r="B25" s="176"/>
      <c r="C25" s="151"/>
      <c r="D25" s="162"/>
      <c r="E25" s="160"/>
      <c r="F25" s="218"/>
      <c r="G25" s="78"/>
      <c r="H25" s="78"/>
    </row>
    <row r="26" spans="1:8" ht="12.75">
      <c r="A26" s="161"/>
      <c r="B26" s="166"/>
      <c r="C26" s="168" t="s">
        <v>304</v>
      </c>
      <c r="D26" s="152"/>
      <c r="E26" s="152"/>
      <c r="F26" s="217">
        <f>+F27+F28+F29</f>
        <v>675090</v>
      </c>
      <c r="G26" s="78"/>
      <c r="H26" s="78"/>
    </row>
    <row r="27" spans="1:8" ht="12.75">
      <c r="A27" s="161"/>
      <c r="B27" s="166"/>
      <c r="C27" s="168"/>
      <c r="D27" s="162" t="s">
        <v>11</v>
      </c>
      <c r="E27" s="152"/>
      <c r="F27" s="218">
        <f>'Converted TB-3rd Qtr'!O21</f>
        <v>634490</v>
      </c>
      <c r="G27" s="78"/>
      <c r="H27" s="78"/>
    </row>
    <row r="28" spans="1:8" ht="12.75">
      <c r="A28" s="161"/>
      <c r="B28" s="166"/>
      <c r="C28" s="168"/>
      <c r="D28" s="162" t="s">
        <v>108</v>
      </c>
      <c r="E28" s="152"/>
      <c r="F28" s="218">
        <f>'Converted TB-3rd Qtr'!O22</f>
        <v>40600</v>
      </c>
      <c r="G28" s="78"/>
      <c r="H28" s="78"/>
    </row>
    <row r="29" spans="1:8" ht="12.75">
      <c r="A29" s="161"/>
      <c r="B29" s="166"/>
      <c r="C29" s="168"/>
      <c r="D29" s="162" t="s">
        <v>109</v>
      </c>
      <c r="E29" s="152"/>
      <c r="F29" s="218">
        <f>'Converted TB-3rd Qtr'!O23</f>
        <v>0</v>
      </c>
      <c r="G29" s="78"/>
      <c r="H29" s="78"/>
    </row>
    <row r="30" spans="1:8" ht="12.75">
      <c r="A30" s="161"/>
      <c r="B30" s="166"/>
      <c r="C30" s="168"/>
      <c r="D30" s="152"/>
      <c r="E30" s="152"/>
      <c r="F30" s="89"/>
      <c r="G30" s="78"/>
      <c r="H30" s="78"/>
    </row>
    <row r="31" spans="1:8" ht="12.75">
      <c r="A31" s="161"/>
      <c r="B31" s="166"/>
      <c r="C31" s="168" t="s">
        <v>305</v>
      </c>
      <c r="D31" s="152"/>
      <c r="E31" s="152"/>
      <c r="F31" s="217">
        <f>SUM(F32:F35)</f>
        <v>238009.95</v>
      </c>
      <c r="G31" s="78"/>
      <c r="H31" s="78"/>
    </row>
    <row r="32" spans="1:8" ht="12.75">
      <c r="A32" s="161"/>
      <c r="B32" s="166"/>
      <c r="C32" s="168"/>
      <c r="D32" s="162" t="s">
        <v>306</v>
      </c>
      <c r="E32" s="152"/>
      <c r="F32" s="218">
        <f>'Converted TB-3rd Qtr'!O24</f>
        <v>127433</v>
      </c>
      <c r="G32" s="78"/>
      <c r="H32" s="78"/>
    </row>
    <row r="33" spans="1:8" ht="12.75">
      <c r="A33" s="161"/>
      <c r="B33" s="166"/>
      <c r="C33" s="168"/>
      <c r="D33" s="162" t="s">
        <v>307</v>
      </c>
      <c r="E33" s="152"/>
      <c r="F33" s="218">
        <f>'Converted TB-3rd Qtr'!O25</f>
        <v>3920</v>
      </c>
      <c r="G33" s="78"/>
      <c r="H33" s="78"/>
    </row>
    <row r="34" spans="1:8" ht="12.75">
      <c r="A34" s="161"/>
      <c r="B34" s="166"/>
      <c r="C34" s="168"/>
      <c r="D34" s="322" t="s">
        <v>534</v>
      </c>
      <c r="E34" s="152"/>
      <c r="F34" s="218">
        <f>'Converted TB-3rd Qtr'!O26</f>
        <v>10200</v>
      </c>
      <c r="G34" s="78"/>
      <c r="H34" s="78"/>
    </row>
    <row r="35" spans="1:8" ht="12.75">
      <c r="A35" s="161"/>
      <c r="B35" s="166"/>
      <c r="C35" s="168"/>
      <c r="D35" s="322" t="s">
        <v>529</v>
      </c>
      <c r="E35" s="152"/>
      <c r="F35" s="218">
        <f>'Converted TB-3rd Qtr'!O27</f>
        <v>96456.95</v>
      </c>
      <c r="G35" s="78"/>
      <c r="H35" s="78"/>
    </row>
    <row r="36" spans="1:8" ht="12.75">
      <c r="A36" s="161"/>
      <c r="B36" s="166"/>
      <c r="C36" s="168"/>
      <c r="D36" s="152"/>
      <c r="E36" s="152"/>
      <c r="F36" s="89"/>
      <c r="G36" s="78"/>
      <c r="H36" s="78"/>
    </row>
    <row r="37" spans="1:8" ht="12.75">
      <c r="A37" s="156"/>
      <c r="B37" s="151" t="s">
        <v>308</v>
      </c>
      <c r="C37" s="151"/>
      <c r="D37" s="151"/>
      <c r="E37" s="160"/>
      <c r="F37" s="217">
        <f>+F38+F43</f>
        <v>216720</v>
      </c>
      <c r="G37" s="78"/>
      <c r="H37" s="78"/>
    </row>
    <row r="38" spans="1:8" ht="12.75">
      <c r="A38" s="161"/>
      <c r="B38" s="166"/>
      <c r="C38" s="168" t="s">
        <v>309</v>
      </c>
      <c r="D38" s="168"/>
      <c r="E38" s="152"/>
      <c r="F38" s="217">
        <f>+F39+F40+F41</f>
        <v>49720</v>
      </c>
      <c r="G38" s="78"/>
      <c r="H38" s="78"/>
    </row>
    <row r="39" spans="1:8" ht="12.75">
      <c r="A39" s="161"/>
      <c r="B39" s="166"/>
      <c r="C39" s="168"/>
      <c r="D39" s="162" t="s">
        <v>213</v>
      </c>
      <c r="E39" s="152"/>
      <c r="F39" s="218">
        <f>'Converted TB-3rd Qtr'!O28</f>
        <v>49720</v>
      </c>
      <c r="G39" s="78"/>
      <c r="H39" s="78"/>
    </row>
    <row r="40" spans="1:8" ht="12.75">
      <c r="A40" s="161"/>
      <c r="B40" s="166"/>
      <c r="C40" s="168"/>
      <c r="D40" s="162" t="s">
        <v>310</v>
      </c>
      <c r="E40" s="152"/>
      <c r="F40" s="218">
        <f>'Converted TB-3rd Qtr'!O29</f>
        <v>0</v>
      </c>
      <c r="G40" s="78"/>
      <c r="H40" s="78"/>
    </row>
    <row r="41" spans="1:8" ht="12.75">
      <c r="A41" s="161"/>
      <c r="B41" s="166"/>
      <c r="C41" s="168"/>
      <c r="D41" s="162" t="s">
        <v>60</v>
      </c>
      <c r="E41" s="152"/>
      <c r="F41" s="218">
        <f>'Converted TB-3rd Qtr'!O30</f>
        <v>0</v>
      </c>
      <c r="G41" s="78"/>
      <c r="H41" s="78"/>
    </row>
    <row r="42" spans="1:8" ht="12.75">
      <c r="A42" s="161"/>
      <c r="B42" s="166"/>
      <c r="C42" s="168"/>
      <c r="D42" s="152"/>
      <c r="E42" s="152"/>
      <c r="F42" s="89"/>
      <c r="G42" s="78"/>
      <c r="H42" s="78"/>
    </row>
    <row r="43" spans="1:8" ht="12.75">
      <c r="A43" s="161"/>
      <c r="B43" s="166"/>
      <c r="C43" s="168" t="s">
        <v>311</v>
      </c>
      <c r="D43" s="168"/>
      <c r="E43" s="152"/>
      <c r="F43" s="217">
        <f>+F44</f>
        <v>167000</v>
      </c>
      <c r="G43" s="78"/>
      <c r="H43" s="78"/>
    </row>
    <row r="44" spans="1:8" ht="12.75">
      <c r="A44" s="161"/>
      <c r="B44" s="166"/>
      <c r="C44" s="168"/>
      <c r="D44" s="162" t="s">
        <v>52</v>
      </c>
      <c r="E44" s="152"/>
      <c r="F44" s="218">
        <f>'Converted TB-3rd Qtr'!O31</f>
        <v>167000</v>
      </c>
      <c r="G44" s="78"/>
      <c r="H44" s="78"/>
    </row>
    <row r="45" spans="1:8" ht="12.75">
      <c r="A45" s="161"/>
      <c r="B45" s="166"/>
      <c r="C45" s="162"/>
      <c r="D45" s="152"/>
      <c r="E45" s="152"/>
      <c r="F45" s="89"/>
      <c r="G45" s="78"/>
      <c r="H45" s="78"/>
    </row>
    <row r="46" spans="1:8" ht="12.75">
      <c r="A46" s="156"/>
      <c r="B46" s="151" t="s">
        <v>316</v>
      </c>
      <c r="C46" s="153"/>
      <c r="D46" s="153"/>
      <c r="E46" s="160"/>
      <c r="F46" s="219">
        <f>+F37+F22+F9</f>
        <v>25758016.80000001</v>
      </c>
      <c r="G46" s="78"/>
      <c r="H46" s="78"/>
    </row>
    <row r="47" spans="1:8" ht="12.75">
      <c r="A47" s="161"/>
      <c r="B47" s="152"/>
      <c r="C47" s="162"/>
      <c r="D47" s="152"/>
      <c r="E47" s="152"/>
      <c r="F47" s="216"/>
      <c r="G47" s="78"/>
      <c r="H47" s="78"/>
    </row>
    <row r="48" spans="1:8" ht="12.75">
      <c r="A48" s="151" t="s">
        <v>317</v>
      </c>
      <c r="B48" s="152"/>
      <c r="C48" s="162"/>
      <c r="D48" s="152"/>
      <c r="E48" s="152"/>
      <c r="F48" s="89"/>
      <c r="G48" s="78"/>
      <c r="H48" s="78"/>
    </row>
    <row r="49" spans="1:6" ht="12.75">
      <c r="A49" s="156"/>
      <c r="B49" s="151" t="s">
        <v>86</v>
      </c>
      <c r="C49" s="151"/>
      <c r="D49" s="153"/>
      <c r="E49" s="160"/>
      <c r="F49" s="217">
        <f>F53+F60+F65+F67+F82+F89</f>
        <v>2899747.1700000004</v>
      </c>
    </row>
    <row r="50" spans="1:8" ht="12.75">
      <c r="A50" s="161"/>
      <c r="B50" s="171"/>
      <c r="C50" s="162" t="s">
        <v>12</v>
      </c>
      <c r="E50" s="152"/>
      <c r="F50" s="218">
        <f>'Converted TB-3rd Qtr'!O32</f>
        <v>1605828.99</v>
      </c>
      <c r="G50" s="152"/>
      <c r="H50" s="167"/>
    </row>
    <row r="51" spans="1:8" ht="12.75">
      <c r="A51" s="161"/>
      <c r="B51" s="171"/>
      <c r="C51" s="168"/>
      <c r="D51" s="155" t="s">
        <v>320</v>
      </c>
      <c r="E51" s="152"/>
      <c r="F51" s="216">
        <f>-'Converted TB-3rd Qtr'!P33</f>
        <v>-304933.1</v>
      </c>
      <c r="G51" s="152"/>
      <c r="H51" s="167"/>
    </row>
    <row r="52" spans="1:8" ht="12.75" hidden="1">
      <c r="A52" s="161"/>
      <c r="B52" s="171"/>
      <c r="C52" s="168"/>
      <c r="D52" s="182" t="s">
        <v>321</v>
      </c>
      <c r="E52" s="152"/>
      <c r="F52" s="216">
        <v>0</v>
      </c>
      <c r="G52" s="152"/>
      <c r="H52" s="167"/>
    </row>
    <row r="53" spans="1:8" ht="12.75">
      <c r="A53" s="161"/>
      <c r="B53" s="171"/>
      <c r="C53" s="168"/>
      <c r="D53" s="182" t="s">
        <v>319</v>
      </c>
      <c r="E53" s="152"/>
      <c r="F53" s="219">
        <f>SUM(F50:F52)</f>
        <v>1300895.8900000001</v>
      </c>
      <c r="G53" s="152"/>
      <c r="H53" s="167"/>
    </row>
    <row r="54" spans="1:8" ht="9.75" customHeight="1">
      <c r="A54" s="161"/>
      <c r="B54" s="171"/>
      <c r="C54" s="168"/>
      <c r="D54" s="182"/>
      <c r="E54" s="152"/>
      <c r="F54" s="220"/>
      <c r="G54" s="152"/>
      <c r="H54" s="167"/>
    </row>
    <row r="55" spans="1:8" ht="12.75">
      <c r="A55" s="161"/>
      <c r="B55" s="171"/>
      <c r="C55" s="162" t="s">
        <v>322</v>
      </c>
      <c r="E55" s="152"/>
      <c r="F55" s="216">
        <f>'Converted TB-3rd Qtr'!O34</f>
        <v>897378</v>
      </c>
      <c r="G55" s="152"/>
      <c r="H55" s="167"/>
    </row>
    <row r="56" spans="1:8" ht="12.75">
      <c r="A56" s="161"/>
      <c r="B56" s="171"/>
      <c r="C56" s="168"/>
      <c r="D56" s="155" t="s">
        <v>323</v>
      </c>
      <c r="E56" s="152"/>
      <c r="F56" s="216"/>
      <c r="G56" s="152"/>
      <c r="H56" s="167"/>
    </row>
    <row r="57" spans="1:8" ht="12.75">
      <c r="A57" s="161"/>
      <c r="B57" s="171"/>
      <c r="C57" s="168"/>
      <c r="D57" s="184" t="s">
        <v>324</v>
      </c>
      <c r="E57" s="152"/>
      <c r="F57" s="217">
        <f>-'Converted TB-3rd Qtr'!P35</f>
        <v>-323874.81000000006</v>
      </c>
      <c r="G57" s="152"/>
      <c r="H57" s="167"/>
    </row>
    <row r="58" spans="1:8" ht="12.75" hidden="1">
      <c r="A58" s="161"/>
      <c r="B58" s="171"/>
      <c r="C58" s="168"/>
      <c r="D58" s="183" t="s">
        <v>325</v>
      </c>
      <c r="E58" s="152"/>
      <c r="F58" s="216"/>
      <c r="G58" s="152"/>
      <c r="H58" s="167"/>
    </row>
    <row r="59" spans="1:8" ht="12.75" hidden="1">
      <c r="A59" s="161"/>
      <c r="B59" s="171"/>
      <c r="C59" s="168"/>
      <c r="D59" s="184" t="s">
        <v>324</v>
      </c>
      <c r="E59" s="152"/>
      <c r="F59" s="216">
        <v>0</v>
      </c>
      <c r="G59" s="152"/>
      <c r="H59" s="167"/>
    </row>
    <row r="60" spans="1:8" ht="12.75">
      <c r="A60" s="161"/>
      <c r="B60" s="171"/>
      <c r="C60" s="168"/>
      <c r="D60" s="165" t="s">
        <v>319</v>
      </c>
      <c r="E60" s="152"/>
      <c r="F60" s="219">
        <f>SUM(F55:F59)</f>
        <v>573503.19</v>
      </c>
      <c r="G60" s="152"/>
      <c r="H60" s="167"/>
    </row>
    <row r="61" spans="1:8" ht="7.5" customHeight="1">
      <c r="A61" s="161"/>
      <c r="B61" s="171"/>
      <c r="C61" s="168"/>
      <c r="D61" s="165"/>
      <c r="E61" s="152"/>
      <c r="F61" s="216"/>
      <c r="G61" s="152"/>
      <c r="H61" s="167"/>
    </row>
    <row r="62" spans="1:8" ht="12.75">
      <c r="A62" s="161"/>
      <c r="B62" s="171"/>
      <c r="C62" s="162" t="s">
        <v>39</v>
      </c>
      <c r="E62" s="152"/>
      <c r="F62" s="218"/>
      <c r="G62" s="152"/>
      <c r="H62" s="167"/>
    </row>
    <row r="63" spans="1:8" ht="12.75">
      <c r="A63" s="161"/>
      <c r="B63" s="171"/>
      <c r="C63" s="168"/>
      <c r="D63" s="155" t="s">
        <v>326</v>
      </c>
      <c r="E63" s="152"/>
      <c r="F63" s="216"/>
      <c r="G63" s="152"/>
      <c r="H63" s="167"/>
    </row>
    <row r="64" spans="1:8" ht="12.75" hidden="1">
      <c r="A64" s="161"/>
      <c r="B64" s="171"/>
      <c r="C64" s="168"/>
      <c r="D64" s="182" t="s">
        <v>327</v>
      </c>
      <c r="E64" s="152"/>
      <c r="F64" s="216">
        <v>0</v>
      </c>
      <c r="G64" s="152"/>
      <c r="H64" s="167"/>
    </row>
    <row r="65" spans="1:8" ht="12.75">
      <c r="A65" s="161"/>
      <c r="B65" s="171"/>
      <c r="C65" s="168"/>
      <c r="D65" s="182" t="s">
        <v>319</v>
      </c>
      <c r="E65" s="152"/>
      <c r="F65" s="219">
        <f>SUM(F62:F64)</f>
        <v>0</v>
      </c>
      <c r="G65" s="152"/>
      <c r="H65" s="167"/>
    </row>
    <row r="66" spans="1:8" ht="7.5" customHeight="1">
      <c r="A66" s="161"/>
      <c r="B66" s="171"/>
      <c r="C66" s="168"/>
      <c r="D66" s="182"/>
      <c r="E66" s="152"/>
      <c r="F66" s="216"/>
      <c r="G66" s="152"/>
      <c r="H66" s="167"/>
    </row>
    <row r="67" spans="1:8" ht="12.75">
      <c r="A67" s="161"/>
      <c r="B67" s="171"/>
      <c r="C67" s="168" t="s">
        <v>514</v>
      </c>
      <c r="D67" s="168"/>
      <c r="E67" s="152"/>
      <c r="F67" s="217">
        <f>+F71+F76</f>
        <v>319485.49</v>
      </c>
      <c r="G67" s="152"/>
      <c r="H67" s="167"/>
    </row>
    <row r="68" spans="1:8" ht="12.75">
      <c r="A68" s="161"/>
      <c r="B68" s="171"/>
      <c r="C68" s="168"/>
      <c r="D68" s="168" t="s">
        <v>511</v>
      </c>
      <c r="E68" s="152"/>
      <c r="F68" s="218">
        <f>'Converted TB-3rd Qtr'!O40</f>
        <v>40622</v>
      </c>
      <c r="G68" s="152"/>
      <c r="H68" s="167"/>
    </row>
    <row r="69" spans="1:8" ht="12.75">
      <c r="A69" s="161"/>
      <c r="B69" s="171"/>
      <c r="C69" s="168"/>
      <c r="D69" s="155" t="s">
        <v>512</v>
      </c>
      <c r="E69" s="152"/>
      <c r="F69" s="216">
        <f>-'Converted TB-3rd Qtr'!P41</f>
        <v>-1607.95</v>
      </c>
      <c r="G69" s="152"/>
      <c r="H69" s="167"/>
    </row>
    <row r="70" spans="1:8" ht="25.5" hidden="1">
      <c r="A70" s="161"/>
      <c r="B70" s="171"/>
      <c r="C70" s="168"/>
      <c r="D70" s="182" t="s">
        <v>513</v>
      </c>
      <c r="E70" s="152"/>
      <c r="F70" s="216">
        <v>0</v>
      </c>
      <c r="G70" s="152"/>
      <c r="H70" s="167"/>
    </row>
    <row r="71" spans="1:8" ht="12.75">
      <c r="A71" s="161"/>
      <c r="B71" s="171"/>
      <c r="C71" s="168"/>
      <c r="D71" s="182" t="s">
        <v>319</v>
      </c>
      <c r="E71" s="152"/>
      <c r="F71" s="219">
        <f>SUM(F68:F70)</f>
        <v>39014.05</v>
      </c>
      <c r="G71" s="152"/>
      <c r="H71" s="167"/>
    </row>
    <row r="72" spans="1:8" ht="6.75" customHeight="1">
      <c r="A72" s="161"/>
      <c r="B72" s="171"/>
      <c r="C72" s="168"/>
      <c r="D72" s="165"/>
      <c r="E72" s="152"/>
      <c r="F72" s="89"/>
      <c r="H72" s="3"/>
    </row>
    <row r="73" spans="1:8" ht="12.75">
      <c r="A73" s="161"/>
      <c r="B73" s="171"/>
      <c r="C73" s="168"/>
      <c r="D73" s="168" t="s">
        <v>128</v>
      </c>
      <c r="E73" s="152"/>
      <c r="F73" s="218">
        <f>'Converted TB-3rd Qtr'!O42</f>
        <v>545970</v>
      </c>
      <c r="H73" s="3"/>
    </row>
    <row r="74" spans="1:8" ht="12.75">
      <c r="A74" s="161"/>
      <c r="B74" s="171"/>
      <c r="C74" s="168"/>
      <c r="D74" s="155" t="s">
        <v>515</v>
      </c>
      <c r="E74" s="152"/>
      <c r="F74" s="216">
        <f>-'Converted TB-3rd Qtr'!P43</f>
        <v>-265498.56</v>
      </c>
      <c r="H74" s="3"/>
    </row>
    <row r="75" spans="1:8" ht="25.5" hidden="1">
      <c r="A75" s="161"/>
      <c r="B75" s="171"/>
      <c r="C75" s="168"/>
      <c r="D75" s="182" t="s">
        <v>516</v>
      </c>
      <c r="E75" s="152"/>
      <c r="F75" s="216">
        <v>0</v>
      </c>
      <c r="H75" s="3"/>
    </row>
    <row r="76" spans="1:8" ht="12.75">
      <c r="A76" s="161"/>
      <c r="B76" s="171"/>
      <c r="C76" s="168"/>
      <c r="D76" s="182" t="s">
        <v>319</v>
      </c>
      <c r="E76" s="152"/>
      <c r="F76" s="219">
        <f>SUM(F73:F75)</f>
        <v>280471.44</v>
      </c>
      <c r="H76" s="3"/>
    </row>
    <row r="77" spans="1:8" ht="6" customHeight="1">
      <c r="A77" s="161"/>
      <c r="B77" s="171"/>
      <c r="C77" s="168"/>
      <c r="D77" s="165"/>
      <c r="E77" s="152"/>
      <c r="F77" s="89"/>
      <c r="H77" s="3"/>
    </row>
    <row r="78" spans="1:8" ht="12.75">
      <c r="A78" s="161"/>
      <c r="B78" s="181"/>
      <c r="C78" s="168" t="s">
        <v>328</v>
      </c>
      <c r="D78" s="152"/>
      <c r="E78" s="152"/>
      <c r="F78" s="217"/>
      <c r="H78" s="3"/>
    </row>
    <row r="79" spans="1:8" ht="12.75">
      <c r="A79" s="161"/>
      <c r="B79" s="181"/>
      <c r="C79" s="168"/>
      <c r="D79" s="162" t="s">
        <v>329</v>
      </c>
      <c r="E79" s="152"/>
      <c r="F79" s="218">
        <f>'Converted TB-3rd Qtr'!O46</f>
        <v>699727.2000000001</v>
      </c>
      <c r="H79" s="3"/>
    </row>
    <row r="80" spans="1:8" ht="12.75">
      <c r="A80" s="161"/>
      <c r="B80" s="181"/>
      <c r="C80" s="168"/>
      <c r="D80" s="179" t="s">
        <v>330</v>
      </c>
      <c r="E80" s="152"/>
      <c r="F80" s="216">
        <f>-'Converted TB-3rd Qtr'!P47</f>
        <v>-249861.28</v>
      </c>
      <c r="H80" s="3"/>
    </row>
    <row r="81" spans="1:8" ht="12.75" hidden="1">
      <c r="A81" s="161"/>
      <c r="B81" s="181"/>
      <c r="C81" s="168"/>
      <c r="D81" s="155" t="s">
        <v>331</v>
      </c>
      <c r="E81" s="152"/>
      <c r="F81" s="216">
        <v>0</v>
      </c>
      <c r="H81" s="3"/>
    </row>
    <row r="82" spans="1:6" ht="12.75">
      <c r="A82" s="161"/>
      <c r="B82" s="181"/>
      <c r="C82" s="168"/>
      <c r="D82" s="155" t="s">
        <v>319</v>
      </c>
      <c r="E82" s="152"/>
      <c r="F82" s="219">
        <f>SUM(F79:F81)</f>
        <v>449865.92000000004</v>
      </c>
    </row>
    <row r="83" spans="1:6" ht="6.75" customHeight="1">
      <c r="A83" s="161"/>
      <c r="B83" s="166"/>
      <c r="C83" s="152"/>
      <c r="D83" s="155"/>
      <c r="E83" s="152"/>
      <c r="F83" s="220"/>
    </row>
    <row r="84" spans="1:6" ht="12.75">
      <c r="A84" s="161"/>
      <c r="B84" s="166"/>
      <c r="C84" s="163" t="s">
        <v>332</v>
      </c>
      <c r="D84" s="163"/>
      <c r="E84" s="152"/>
      <c r="F84" s="217">
        <v>0</v>
      </c>
    </row>
    <row r="85" spans="1:6" ht="7.5" customHeight="1">
      <c r="A85" s="161"/>
      <c r="B85" s="166"/>
      <c r="C85" s="168"/>
      <c r="D85" s="168"/>
      <c r="E85" s="152"/>
      <c r="F85" s="89"/>
    </row>
    <row r="86" spans="1:6" ht="12.75">
      <c r="A86" s="161"/>
      <c r="B86" s="166"/>
      <c r="C86" s="162" t="s">
        <v>15</v>
      </c>
      <c r="D86" s="152"/>
      <c r="E86" s="152"/>
      <c r="F86" s="217"/>
    </row>
    <row r="87" spans="1:6" ht="12.75">
      <c r="A87" s="161"/>
      <c r="B87" s="166"/>
      <c r="C87" s="152"/>
      <c r="D87" s="162" t="s">
        <v>15</v>
      </c>
      <c r="E87" s="152"/>
      <c r="F87" s="216">
        <f>'Converted TB-3rd Qtr'!O49</f>
        <v>255996.67999999996</v>
      </c>
    </row>
    <row r="88" spans="1:6" ht="12.75">
      <c r="A88" s="161"/>
      <c r="B88" s="166"/>
      <c r="C88" s="152"/>
      <c r="D88" s="155" t="s">
        <v>336</v>
      </c>
      <c r="E88" s="152"/>
      <c r="F88" s="216">
        <v>0</v>
      </c>
    </row>
    <row r="89" spans="1:6" ht="12.75">
      <c r="A89" s="161"/>
      <c r="B89" s="166"/>
      <c r="C89" s="152"/>
      <c r="D89" s="155" t="s">
        <v>319</v>
      </c>
      <c r="E89" s="152"/>
      <c r="F89" s="219">
        <f>SUM(F87:F88)</f>
        <v>255996.67999999996</v>
      </c>
    </row>
    <row r="90" spans="1:6" ht="12.75">
      <c r="A90" s="161"/>
      <c r="B90" s="166"/>
      <c r="C90" s="152"/>
      <c r="D90" s="155"/>
      <c r="E90" s="152"/>
      <c r="F90" s="216"/>
    </row>
    <row r="91" spans="1:6" ht="12.75">
      <c r="A91" s="156"/>
      <c r="B91" s="151" t="s">
        <v>337</v>
      </c>
      <c r="C91" s="153"/>
      <c r="D91" s="153"/>
      <c r="E91" s="160"/>
      <c r="F91" s="217">
        <f>+F49</f>
        <v>2899747.1700000004</v>
      </c>
    </row>
    <row r="92" spans="1:6" ht="12.75">
      <c r="A92" s="161"/>
      <c r="B92" s="152"/>
      <c r="C92" s="162"/>
      <c r="D92" s="152"/>
      <c r="E92" s="152"/>
      <c r="F92" s="216"/>
    </row>
    <row r="93" spans="1:6" ht="12.75">
      <c r="A93" s="154" t="s">
        <v>87</v>
      </c>
      <c r="B93" s="151"/>
      <c r="C93" s="175"/>
      <c r="D93" s="175"/>
      <c r="E93" s="160"/>
      <c r="F93" s="221">
        <f>+F46+F91</f>
        <v>28657763.97000001</v>
      </c>
    </row>
    <row r="94" spans="1:6" ht="12.75">
      <c r="A94" s="157"/>
      <c r="B94" s="160"/>
      <c r="C94" s="180"/>
      <c r="D94" s="180"/>
      <c r="E94" s="152"/>
      <c r="F94" s="152"/>
    </row>
    <row r="95" spans="1:6" ht="12.75">
      <c r="A95" s="154" t="s">
        <v>338</v>
      </c>
      <c r="B95" s="160"/>
      <c r="C95" s="175"/>
      <c r="D95" s="175"/>
      <c r="E95" s="160"/>
      <c r="F95" s="160"/>
    </row>
    <row r="96" spans="1:6" ht="12.75">
      <c r="A96" s="152"/>
      <c r="B96" s="160"/>
      <c r="C96" s="180"/>
      <c r="D96" s="180"/>
      <c r="E96" s="152"/>
      <c r="F96" s="152"/>
    </row>
    <row r="97" spans="1:6" ht="12.75">
      <c r="A97" s="554" t="s">
        <v>88</v>
      </c>
      <c r="B97" s="554"/>
      <c r="C97" s="554"/>
      <c r="D97" s="554"/>
      <c r="E97" s="152"/>
      <c r="F97" s="152"/>
    </row>
    <row r="98" spans="1:6" ht="12.75">
      <c r="A98" s="151"/>
      <c r="B98" s="151" t="s">
        <v>89</v>
      </c>
      <c r="C98" s="151"/>
      <c r="D98" s="151"/>
      <c r="E98" s="152"/>
      <c r="F98" s="152"/>
    </row>
    <row r="99" spans="1:6" ht="12.75">
      <c r="A99" s="156"/>
      <c r="B99" s="151" t="s">
        <v>339</v>
      </c>
      <c r="C99" s="151"/>
      <c r="D99" s="151"/>
      <c r="E99" s="160"/>
      <c r="F99" s="217">
        <f>+F100</f>
        <v>1.3960743672214448E-10</v>
      </c>
    </row>
    <row r="100" spans="1:6" ht="12.75">
      <c r="A100" s="161"/>
      <c r="B100" s="166"/>
      <c r="C100" s="162" t="s">
        <v>340</v>
      </c>
      <c r="D100" s="155"/>
      <c r="E100" s="152"/>
      <c r="F100" s="217">
        <f>+F101</f>
        <v>1.3960743672214448E-10</v>
      </c>
    </row>
    <row r="101" spans="1:6" ht="12.75">
      <c r="A101" s="161"/>
      <c r="B101" s="166"/>
      <c r="C101" s="162"/>
      <c r="D101" s="162" t="s">
        <v>31</v>
      </c>
      <c r="E101" s="152"/>
      <c r="F101" s="218">
        <f>'Converted TB-3rd Qtr'!P52</f>
        <v>1.3960743672214448E-10</v>
      </c>
    </row>
    <row r="102" spans="1:6" ht="12.75">
      <c r="A102" s="161"/>
      <c r="B102" s="166"/>
      <c r="C102" s="162"/>
      <c r="D102" s="152"/>
      <c r="E102" s="152"/>
      <c r="F102" s="89"/>
    </row>
    <row r="103" spans="1:6" ht="12.75">
      <c r="A103" s="156"/>
      <c r="B103" s="151" t="s">
        <v>341</v>
      </c>
      <c r="C103" s="153"/>
      <c r="D103" s="151"/>
      <c r="E103" s="160"/>
      <c r="F103" s="217">
        <f>+F104+F105+F106+F107+F108</f>
        <v>545218.6600000004</v>
      </c>
    </row>
    <row r="104" spans="1:6" ht="12.75">
      <c r="A104" s="161"/>
      <c r="B104" s="166"/>
      <c r="C104" s="152"/>
      <c r="D104" s="162" t="s">
        <v>46</v>
      </c>
      <c r="E104" s="152"/>
      <c r="F104" s="218">
        <f>'Converted TB-3rd Qtr'!P53</f>
        <v>267051.86000000045</v>
      </c>
    </row>
    <row r="105" spans="1:6" ht="12.75">
      <c r="A105" s="161"/>
      <c r="B105" s="166"/>
      <c r="C105" s="152"/>
      <c r="D105" s="162" t="s">
        <v>45</v>
      </c>
      <c r="E105" s="152"/>
      <c r="F105" s="218">
        <f>'Converted TB-3rd Qtr'!P54</f>
        <v>291449.78999999986</v>
      </c>
    </row>
    <row r="106" spans="1:6" ht="12.75">
      <c r="A106" s="161"/>
      <c r="B106" s="166"/>
      <c r="C106" s="152"/>
      <c r="D106" s="162" t="s">
        <v>342</v>
      </c>
      <c r="E106" s="152"/>
      <c r="F106" s="218">
        <f>'Converted TB-3rd Qtr'!P55</f>
        <v>39664.14999999999</v>
      </c>
    </row>
    <row r="107" spans="1:6" ht="12.75">
      <c r="A107" s="161"/>
      <c r="B107" s="166"/>
      <c r="C107" s="152"/>
      <c r="D107" s="162" t="s">
        <v>343</v>
      </c>
      <c r="E107" s="152"/>
      <c r="F107" s="218">
        <f>'Converted TB-3rd Qtr'!P56</f>
        <v>-238.9499999999971</v>
      </c>
    </row>
    <row r="108" spans="1:6" ht="12.75">
      <c r="A108" s="161"/>
      <c r="B108" s="166"/>
      <c r="C108" s="152"/>
      <c r="D108" s="162" t="s">
        <v>59</v>
      </c>
      <c r="E108" s="152"/>
      <c r="F108" s="218">
        <f>'Converted TB-3rd Qtr'!P57</f>
        <v>-52708.19</v>
      </c>
    </row>
    <row r="109" spans="1:6" ht="12.75">
      <c r="A109" s="161"/>
      <c r="B109" s="166"/>
      <c r="C109" s="152"/>
      <c r="D109" s="152"/>
      <c r="E109" s="152"/>
      <c r="F109" s="89"/>
    </row>
    <row r="110" spans="1:6" ht="12.75">
      <c r="A110" s="156"/>
      <c r="B110" s="151" t="s">
        <v>17</v>
      </c>
      <c r="C110" s="175"/>
      <c r="D110" s="153"/>
      <c r="E110" s="160"/>
      <c r="F110" s="217">
        <f>+F111</f>
        <v>0</v>
      </c>
    </row>
    <row r="111" spans="1:6" ht="12.75">
      <c r="A111" s="161"/>
      <c r="B111" s="162"/>
      <c r="C111" s="163" t="s">
        <v>17</v>
      </c>
      <c r="D111" s="152"/>
      <c r="E111" s="152"/>
      <c r="F111" s="217">
        <f>'Converted TB-3rd Qtr'!P58</f>
        <v>0</v>
      </c>
    </row>
    <row r="112" spans="1:6" ht="12.75">
      <c r="A112" s="161"/>
      <c r="B112" s="162"/>
      <c r="C112" s="152"/>
      <c r="D112" s="152"/>
      <c r="E112" s="152"/>
      <c r="F112" s="216"/>
    </row>
    <row r="113" spans="1:6" ht="12.75">
      <c r="A113" s="161"/>
      <c r="B113" s="151" t="s">
        <v>347</v>
      </c>
      <c r="C113" s="152"/>
      <c r="D113" s="163"/>
      <c r="E113" s="152"/>
      <c r="F113" s="217">
        <f>+F99+F103+F110</f>
        <v>545218.6600000005</v>
      </c>
    </row>
    <row r="114" spans="1:6" ht="12.75">
      <c r="A114" s="161"/>
      <c r="B114" s="163"/>
      <c r="C114" s="152"/>
      <c r="D114" s="163"/>
      <c r="E114" s="152"/>
      <c r="F114" s="89"/>
    </row>
    <row r="115" spans="1:6" ht="12.75">
      <c r="A115" s="156"/>
      <c r="B115" s="153" t="s">
        <v>348</v>
      </c>
      <c r="C115" s="160"/>
      <c r="D115" s="151"/>
      <c r="E115" s="160"/>
      <c r="F115" s="217">
        <f>+F113</f>
        <v>545218.6600000005</v>
      </c>
    </row>
    <row r="116" spans="1:6" ht="12.75">
      <c r="A116" s="161"/>
      <c r="B116" s="162"/>
      <c r="C116" s="174"/>
      <c r="D116" s="163"/>
      <c r="E116" s="152"/>
      <c r="F116" s="89"/>
    </row>
    <row r="117" spans="1:6" ht="13.5" thickBot="1">
      <c r="A117" s="178" t="s">
        <v>349</v>
      </c>
      <c r="B117" s="153"/>
      <c r="C117" s="174"/>
      <c r="D117" s="163"/>
      <c r="E117" s="152"/>
      <c r="F117" s="232">
        <f>+F93-F115</f>
        <v>28112545.31000001</v>
      </c>
    </row>
    <row r="118" spans="1:6" ht="13.5" thickTop="1">
      <c r="A118" s="161"/>
      <c r="B118" s="162"/>
      <c r="C118" s="174"/>
      <c r="D118" s="163"/>
      <c r="E118" s="152"/>
      <c r="F118" s="152"/>
    </row>
    <row r="119" spans="1:6" ht="12.75">
      <c r="A119" s="154" t="s">
        <v>350</v>
      </c>
      <c r="B119" s="152"/>
      <c r="C119" s="158"/>
      <c r="D119" s="158"/>
      <c r="E119" s="152"/>
      <c r="F119" s="152"/>
    </row>
    <row r="120" spans="1:6" ht="12.75">
      <c r="A120" s="152"/>
      <c r="B120" s="151" t="s">
        <v>90</v>
      </c>
      <c r="C120" s="158"/>
      <c r="D120" s="158"/>
      <c r="E120" s="152"/>
      <c r="F120" s="152"/>
    </row>
    <row r="121" spans="1:6" ht="12.75">
      <c r="A121" s="156"/>
      <c r="B121" s="153"/>
      <c r="C121" s="151" t="s">
        <v>18</v>
      </c>
      <c r="D121" s="151"/>
      <c r="E121" s="160"/>
      <c r="F121" s="217">
        <f>+F122</f>
        <v>28112545.31</v>
      </c>
    </row>
    <row r="122" spans="1:6" ht="12.75">
      <c r="A122" s="161"/>
      <c r="B122" s="163"/>
      <c r="C122" s="152"/>
      <c r="D122" s="163" t="s">
        <v>351</v>
      </c>
      <c r="E122" s="152"/>
      <c r="F122" s="218">
        <v>28112545.31</v>
      </c>
    </row>
    <row r="123" spans="1:6" ht="12.75">
      <c r="A123" s="156"/>
      <c r="B123" s="153"/>
      <c r="C123" s="151" t="s">
        <v>352</v>
      </c>
      <c r="D123" s="151"/>
      <c r="E123" s="160"/>
      <c r="F123" s="217">
        <f>+F124</f>
        <v>0</v>
      </c>
    </row>
    <row r="124" spans="1:6" ht="12.75">
      <c r="A124" s="161"/>
      <c r="B124" s="163"/>
      <c r="C124" s="152"/>
      <c r="D124" s="163" t="s">
        <v>353</v>
      </c>
      <c r="E124" s="152"/>
      <c r="F124" s="218">
        <v>0</v>
      </c>
    </row>
    <row r="125" spans="1:6" ht="12.75">
      <c r="A125" s="161"/>
      <c r="B125" s="163"/>
      <c r="C125" s="152"/>
      <c r="D125" s="163"/>
      <c r="E125" s="152"/>
      <c r="F125" s="89"/>
    </row>
    <row r="126" spans="1:6" ht="13.5" thickBot="1">
      <c r="A126" s="153" t="s">
        <v>354</v>
      </c>
      <c r="B126" s="152"/>
      <c r="C126" s="174"/>
      <c r="D126" s="163"/>
      <c r="E126" s="152"/>
      <c r="F126" s="232">
        <f>+F121+F123</f>
        <v>28112545.31</v>
      </c>
    </row>
    <row r="127" spans="1:6" ht="13.5" thickTop="1">
      <c r="A127" s="161"/>
      <c r="B127" s="153"/>
      <c r="C127" s="174"/>
      <c r="D127" s="163"/>
      <c r="E127" s="152"/>
      <c r="F127" s="157"/>
    </row>
    <row r="130" spans="1:5" ht="12.75">
      <c r="A130" s="16" t="s">
        <v>25</v>
      </c>
      <c r="B130" s="77"/>
      <c r="E130" s="1" t="s">
        <v>55</v>
      </c>
    </row>
    <row r="131" spans="1:5" ht="12.75">
      <c r="A131" s="16"/>
      <c r="B131" s="77"/>
      <c r="C131" s="99"/>
      <c r="E131" s="99"/>
    </row>
    <row r="132" spans="1:5" ht="12.75">
      <c r="A132" s="16"/>
      <c r="B132" s="77"/>
      <c r="C132" s="100"/>
      <c r="E132" s="100"/>
    </row>
    <row r="133" spans="1:5" ht="12.75">
      <c r="A133" s="17" t="s">
        <v>222</v>
      </c>
      <c r="B133" s="77"/>
      <c r="E133" s="20" t="s">
        <v>628</v>
      </c>
    </row>
    <row r="134" spans="1:5" ht="12.75">
      <c r="A134" s="16" t="s">
        <v>630</v>
      </c>
      <c r="B134" s="77"/>
      <c r="D134" s="77"/>
      <c r="E134" s="1" t="s">
        <v>629</v>
      </c>
    </row>
  </sheetData>
  <sheetProtection/>
  <mergeCells count="5">
    <mergeCell ref="A1:F1"/>
    <mergeCell ref="A2:F2"/>
    <mergeCell ref="A3:F3"/>
    <mergeCell ref="A4:F4"/>
    <mergeCell ref="A97:D97"/>
  </mergeCells>
  <printOptions/>
  <pageMargins left="0.7" right="0.7" top="0.75" bottom="0.75" header="0.3" footer="0.3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10" width="17.7109375" style="30" customWidth="1"/>
    <col min="11" max="13" width="13.57421875" style="30" customWidth="1"/>
    <col min="14" max="14" width="14.14062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583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228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746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545" t="s">
        <v>5</v>
      </c>
      <c r="B10" s="470" t="s">
        <v>4</v>
      </c>
      <c r="C10" s="538" t="s">
        <v>747</v>
      </c>
      <c r="D10" s="539"/>
      <c r="E10" s="537" t="s">
        <v>49</v>
      </c>
      <c r="F10" s="537"/>
      <c r="G10" s="538" t="s">
        <v>54</v>
      </c>
      <c r="H10" s="539"/>
      <c r="I10" s="537" t="s">
        <v>48</v>
      </c>
      <c r="J10" s="537"/>
      <c r="K10" s="538" t="s">
        <v>57</v>
      </c>
      <c r="L10" s="539"/>
      <c r="M10" s="538" t="s">
        <v>50</v>
      </c>
      <c r="N10" s="537"/>
      <c r="O10" s="543" t="s">
        <v>7</v>
      </c>
      <c r="P10" s="541" t="s">
        <v>8</v>
      </c>
    </row>
    <row r="11" spans="1:16" ht="16.5" thickBot="1">
      <c r="A11" s="546"/>
      <c r="B11" s="266" t="s">
        <v>6</v>
      </c>
      <c r="C11" s="105" t="s">
        <v>7</v>
      </c>
      <c r="D11" s="106" t="s">
        <v>8</v>
      </c>
      <c r="E11" s="118" t="s">
        <v>7</v>
      </c>
      <c r="F11" s="117" t="s">
        <v>8</v>
      </c>
      <c r="G11" s="105" t="s">
        <v>7</v>
      </c>
      <c r="H11" s="106" t="s">
        <v>8</v>
      </c>
      <c r="I11" s="118" t="s">
        <v>7</v>
      </c>
      <c r="J11" s="117" t="s">
        <v>8</v>
      </c>
      <c r="K11" s="105" t="s">
        <v>7</v>
      </c>
      <c r="L11" s="106" t="s">
        <v>8</v>
      </c>
      <c r="M11" s="105" t="s">
        <v>7</v>
      </c>
      <c r="N11" s="117" t="s">
        <v>8</v>
      </c>
      <c r="O11" s="544"/>
      <c r="P11" s="542"/>
    </row>
    <row r="12" spans="1:16" ht="13.5" customHeight="1">
      <c r="A12" s="469"/>
      <c r="B12" s="470"/>
      <c r="C12" s="469"/>
      <c r="D12" s="70"/>
      <c r="E12" s="111"/>
      <c r="F12" s="35"/>
      <c r="G12" s="469"/>
      <c r="H12" s="70"/>
      <c r="I12" s="111"/>
      <c r="J12" s="35"/>
      <c r="K12" s="469"/>
      <c r="L12" s="70"/>
      <c r="M12" s="469"/>
      <c r="N12" s="35"/>
      <c r="O12" s="267"/>
      <c r="P12" s="116"/>
    </row>
    <row r="13" spans="1:16" ht="12.75" customHeight="1">
      <c r="A13" s="4" t="s">
        <v>9</v>
      </c>
      <c r="B13" s="261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20"/>
      <c r="P13" s="115"/>
    </row>
    <row r="14" spans="1:16" ht="12.75">
      <c r="A14" s="102" t="s">
        <v>678</v>
      </c>
      <c r="B14" s="506" t="s">
        <v>679</v>
      </c>
      <c r="C14" s="107">
        <f>Jan20!O14</f>
        <v>0</v>
      </c>
      <c r="D14" s="10">
        <f>Jan20!P14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21">
        <f>C14+E14+I14+M14-D14-F14-J14-N14+G14-H14+K14-L14</f>
        <v>0</v>
      </c>
      <c r="P14" s="22"/>
    </row>
    <row r="15" spans="1:16" ht="12.75">
      <c r="A15" s="49" t="s">
        <v>101</v>
      </c>
      <c r="B15" s="506" t="s">
        <v>100</v>
      </c>
      <c r="C15" s="107">
        <f>Jan20!O15</f>
        <v>35000</v>
      </c>
      <c r="D15" s="10">
        <f>Jan20!P15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21">
        <f aca="true" t="shared" si="0" ref="O15:O91">C15+E15+I15+M15-D15-F15-J15-N15+G15-H15+K15-L15</f>
        <v>35000</v>
      </c>
      <c r="P15" s="22"/>
    </row>
    <row r="16" spans="1:16" s="29" customFormat="1" ht="12.75">
      <c r="A16" s="49" t="s">
        <v>589</v>
      </c>
      <c r="B16" s="506" t="s">
        <v>230</v>
      </c>
      <c r="C16" s="107">
        <f>Jan20!O16</f>
        <v>333912.42</v>
      </c>
      <c r="D16" s="10">
        <f>Jan20!P16</f>
        <v>0</v>
      </c>
      <c r="E16" s="6"/>
      <c r="F16" s="47"/>
      <c r="G16" s="13"/>
      <c r="H16" s="46"/>
      <c r="I16" s="6"/>
      <c r="J16" s="47"/>
      <c r="K16" s="13"/>
      <c r="L16" s="46"/>
      <c r="M16" s="13"/>
      <c r="N16" s="323"/>
      <c r="O16" s="121">
        <f t="shared" si="0"/>
        <v>333912.42</v>
      </c>
      <c r="P16" s="22"/>
    </row>
    <row r="17" spans="1:16" s="29" customFormat="1" ht="12.75">
      <c r="A17" s="49" t="s">
        <v>636</v>
      </c>
      <c r="B17" s="506" t="s">
        <v>590</v>
      </c>
      <c r="C17" s="107">
        <f>Jan20!O17</f>
        <v>0</v>
      </c>
      <c r="D17" s="10">
        <f>Jan20!P17</f>
        <v>0</v>
      </c>
      <c r="E17" s="9"/>
      <c r="F17" s="11"/>
      <c r="G17" s="14"/>
      <c r="H17" s="46"/>
      <c r="I17" s="9"/>
      <c r="J17" s="47"/>
      <c r="K17" s="14"/>
      <c r="L17" s="46"/>
      <c r="M17" s="14"/>
      <c r="N17" s="51"/>
      <c r="O17" s="121">
        <f t="shared" si="0"/>
        <v>0</v>
      </c>
      <c r="P17" s="22"/>
    </row>
    <row r="18" spans="1:16" s="29" customFormat="1" ht="12.75">
      <c r="A18" s="49" t="s">
        <v>103</v>
      </c>
      <c r="B18" s="506" t="s">
        <v>102</v>
      </c>
      <c r="C18" s="107">
        <f>Jan20!O18</f>
        <v>6987751.47</v>
      </c>
      <c r="D18" s="10">
        <f>Jan20!P18</f>
        <v>0</v>
      </c>
      <c r="E18" s="9"/>
      <c r="F18" s="51">
        <v>4486061.87</v>
      </c>
      <c r="G18" s="14"/>
      <c r="H18" s="46"/>
      <c r="I18" s="9"/>
      <c r="J18" s="51"/>
      <c r="K18" s="14"/>
      <c r="L18" s="51"/>
      <c r="M18" s="14">
        <v>21400854.42</v>
      </c>
      <c r="N18" s="51"/>
      <c r="O18" s="121">
        <f t="shared" si="0"/>
        <v>23902544.02</v>
      </c>
      <c r="P18" s="22"/>
    </row>
    <row r="19" spans="1:16" s="29" customFormat="1" ht="12.75">
      <c r="A19" s="49" t="s">
        <v>10</v>
      </c>
      <c r="B19" s="506" t="s">
        <v>104</v>
      </c>
      <c r="C19" s="107">
        <f>Jan20!O19</f>
        <v>13913445.15</v>
      </c>
      <c r="D19" s="10">
        <f>Jan20!P19</f>
        <v>0</v>
      </c>
      <c r="E19" s="9"/>
      <c r="F19" s="51"/>
      <c r="G19" s="14"/>
      <c r="H19" s="46"/>
      <c r="I19" s="9"/>
      <c r="J19" s="51"/>
      <c r="K19" s="14"/>
      <c r="L19" s="51">
        <v>697916.25</v>
      </c>
      <c r="M19" s="14"/>
      <c r="N19" s="51"/>
      <c r="O19" s="121">
        <f t="shared" si="0"/>
        <v>13215528.9</v>
      </c>
      <c r="P19" s="22"/>
    </row>
    <row r="20" spans="1:16" s="29" customFormat="1" ht="12.75">
      <c r="A20" s="49" t="s">
        <v>567</v>
      </c>
      <c r="B20" s="506" t="s">
        <v>568</v>
      </c>
      <c r="C20" s="107">
        <f>Jan20!O20</f>
        <v>29253808.29</v>
      </c>
      <c r="D20" s="10">
        <f>Jan20!P20</f>
        <v>0</v>
      </c>
      <c r="E20" s="9"/>
      <c r="F20" s="51"/>
      <c r="G20" s="14"/>
      <c r="H20" s="46"/>
      <c r="I20" s="9"/>
      <c r="J20" s="51"/>
      <c r="K20" s="14"/>
      <c r="L20" s="10"/>
      <c r="M20" s="14"/>
      <c r="N20" s="51"/>
      <c r="O20" s="121">
        <f t="shared" si="0"/>
        <v>29253808.29</v>
      </c>
      <c r="P20" s="22"/>
    </row>
    <row r="21" spans="1:16" s="29" customFormat="1" ht="12.75">
      <c r="A21" s="49" t="s">
        <v>734</v>
      </c>
      <c r="B21" s="506" t="s">
        <v>735</v>
      </c>
      <c r="C21" s="107">
        <f>Jan20!O21</f>
        <v>497000</v>
      </c>
      <c r="D21" s="10">
        <f>Jan20!P21</f>
        <v>0</v>
      </c>
      <c r="E21" s="9"/>
      <c r="F21" s="51"/>
      <c r="G21" s="14"/>
      <c r="H21" s="46"/>
      <c r="I21" s="9"/>
      <c r="J21" s="51"/>
      <c r="K21" s="14"/>
      <c r="L21" s="10"/>
      <c r="M21" s="14"/>
      <c r="N21" s="51"/>
      <c r="O21" s="121">
        <f t="shared" si="0"/>
        <v>497000</v>
      </c>
      <c r="P21" s="22"/>
    </row>
    <row r="22" spans="1:16" s="29" customFormat="1" ht="12.75">
      <c r="A22" s="49" t="s">
        <v>11</v>
      </c>
      <c r="B22" s="506" t="s">
        <v>105</v>
      </c>
      <c r="C22" s="107">
        <f>Jan20!O22</f>
        <v>30162.22</v>
      </c>
      <c r="D22" s="10">
        <f>Jan20!P22</f>
        <v>0</v>
      </c>
      <c r="E22" s="9"/>
      <c r="F22" s="52"/>
      <c r="G22" s="14"/>
      <c r="H22" s="53"/>
      <c r="I22" s="9"/>
      <c r="J22" s="52"/>
      <c r="K22" s="14"/>
      <c r="L22" s="53"/>
      <c r="M22" s="14"/>
      <c r="N22" s="52"/>
      <c r="O22" s="121">
        <f t="shared" si="0"/>
        <v>30162.22</v>
      </c>
      <c r="P22" s="122"/>
    </row>
    <row r="23" spans="1:16" s="29" customFormat="1" ht="12.75">
      <c r="A23" s="74" t="s">
        <v>108</v>
      </c>
      <c r="B23" s="507" t="s">
        <v>106</v>
      </c>
      <c r="C23" s="107">
        <f>Jan20!O23</f>
        <v>0</v>
      </c>
      <c r="D23" s="10">
        <f>Jan20!P23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121">
        <f t="shared" si="0"/>
        <v>0</v>
      </c>
      <c r="P23" s="122"/>
    </row>
    <row r="24" spans="1:16" s="29" customFormat="1" ht="12.75">
      <c r="A24" s="49" t="s">
        <v>109</v>
      </c>
      <c r="B24" s="506" t="s">
        <v>107</v>
      </c>
      <c r="C24" s="107">
        <f>Jan20!O24</f>
        <v>0</v>
      </c>
      <c r="D24" s="10">
        <f>Jan20!P24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21">
        <f t="shared" si="0"/>
        <v>0</v>
      </c>
      <c r="P24" s="122"/>
    </row>
    <row r="25" spans="1:16" s="29" customFormat="1" ht="12.75">
      <c r="A25" s="49" t="s">
        <v>239</v>
      </c>
      <c r="B25" s="506" t="s">
        <v>240</v>
      </c>
      <c r="C25" s="107">
        <f>Jan20!O25</f>
        <v>0</v>
      </c>
      <c r="D25" s="10">
        <f>Jan20!P25</f>
        <v>0</v>
      </c>
      <c r="E25" s="9"/>
      <c r="F25" s="52"/>
      <c r="G25" s="14"/>
      <c r="H25" s="53"/>
      <c r="I25" s="9"/>
      <c r="J25" s="52"/>
      <c r="K25" s="14"/>
      <c r="L25" s="53"/>
      <c r="M25" s="14"/>
      <c r="N25" s="52"/>
      <c r="O25" s="121">
        <f t="shared" si="0"/>
        <v>0</v>
      </c>
      <c r="P25" s="122"/>
    </row>
    <row r="26" spans="1:16" s="29" customFormat="1" ht="12.75">
      <c r="A26" s="49" t="s">
        <v>238</v>
      </c>
      <c r="B26" s="506" t="s">
        <v>231</v>
      </c>
      <c r="C26" s="107">
        <f>Jan20!O26</f>
        <v>0</v>
      </c>
      <c r="D26" s="10">
        <f>Jan20!P26</f>
        <v>0</v>
      </c>
      <c r="E26" s="9"/>
      <c r="F26" s="52"/>
      <c r="G26" s="14"/>
      <c r="H26" s="53"/>
      <c r="I26" s="9"/>
      <c r="J26" s="52"/>
      <c r="K26" s="14"/>
      <c r="L26" s="53"/>
      <c r="M26" s="14"/>
      <c r="N26" s="52"/>
      <c r="O26" s="121">
        <f t="shared" si="0"/>
        <v>0</v>
      </c>
      <c r="P26" s="122"/>
    </row>
    <row r="27" spans="1:16" s="29" customFormat="1" ht="12.75">
      <c r="A27" s="49" t="s">
        <v>534</v>
      </c>
      <c r="B27" s="506" t="s">
        <v>526</v>
      </c>
      <c r="C27" s="107">
        <f>Jan20!O27</f>
        <v>0</v>
      </c>
      <c r="D27" s="10">
        <f>Jan20!P27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21">
        <f t="shared" si="0"/>
        <v>0</v>
      </c>
      <c r="P27" s="122"/>
    </row>
    <row r="28" spans="1:16" s="29" customFormat="1" ht="12.75">
      <c r="A28" s="49" t="s">
        <v>732</v>
      </c>
      <c r="B28" s="506" t="s">
        <v>520</v>
      </c>
      <c r="C28" s="107">
        <f>Jan20!O28</f>
        <v>0</v>
      </c>
      <c r="D28" s="10">
        <f>Jan20!P28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21">
        <f t="shared" si="0"/>
        <v>0</v>
      </c>
      <c r="P28" s="122"/>
    </row>
    <row r="29" spans="1:16" s="29" customFormat="1" ht="12.75">
      <c r="A29" s="49" t="s">
        <v>213</v>
      </c>
      <c r="B29" s="506" t="s">
        <v>209</v>
      </c>
      <c r="C29" s="107">
        <f>Jan20!O29</f>
        <v>0</v>
      </c>
      <c r="D29" s="10">
        <f>Jan20!P29</f>
        <v>0</v>
      </c>
      <c r="E29" s="9"/>
      <c r="F29" s="52"/>
      <c r="G29" s="14"/>
      <c r="H29" s="98"/>
      <c r="I29" s="9"/>
      <c r="J29" s="52"/>
      <c r="K29" s="14"/>
      <c r="L29" s="53"/>
      <c r="M29" s="14"/>
      <c r="N29" s="52"/>
      <c r="O29" s="121">
        <f t="shared" si="0"/>
        <v>0</v>
      </c>
      <c r="P29" s="122"/>
    </row>
    <row r="30" spans="1:16" s="29" customFormat="1" ht="12.75">
      <c r="A30" s="49" t="s">
        <v>201</v>
      </c>
      <c r="B30" s="506" t="s">
        <v>200</v>
      </c>
      <c r="C30" s="107">
        <f>Jan20!O30</f>
        <v>0</v>
      </c>
      <c r="D30" s="10">
        <f>Jan20!P30</f>
        <v>0</v>
      </c>
      <c r="E30" s="9">
        <v>3600</v>
      </c>
      <c r="F30" s="52">
        <v>3600</v>
      </c>
      <c r="G30" s="14"/>
      <c r="H30" s="98"/>
      <c r="I30" s="9"/>
      <c r="J30" s="52"/>
      <c r="K30" s="14"/>
      <c r="L30" s="53"/>
      <c r="M30" s="14"/>
      <c r="N30" s="52"/>
      <c r="O30" s="121">
        <f t="shared" si="0"/>
        <v>0</v>
      </c>
      <c r="P30" s="122"/>
    </row>
    <row r="31" spans="1:16" s="29" customFormat="1" ht="12.75">
      <c r="A31" s="49" t="s">
        <v>202</v>
      </c>
      <c r="B31" s="506" t="s">
        <v>203</v>
      </c>
      <c r="C31" s="107">
        <f>Jan20!O31</f>
        <v>16900</v>
      </c>
      <c r="D31" s="10">
        <f>Jan20!P31</f>
        <v>0</v>
      </c>
      <c r="E31" s="9">
        <v>41354</v>
      </c>
      <c r="F31" s="52">
        <v>45956</v>
      </c>
      <c r="G31" s="14"/>
      <c r="H31" s="53"/>
      <c r="I31" s="9"/>
      <c r="J31" s="52"/>
      <c r="K31" s="14"/>
      <c r="L31" s="53"/>
      <c r="M31" s="14"/>
      <c r="N31" s="52"/>
      <c r="O31" s="121">
        <f t="shared" si="0"/>
        <v>12298</v>
      </c>
      <c r="P31" s="122"/>
    </row>
    <row r="32" spans="1:16" s="29" customFormat="1" ht="12.75">
      <c r="A32" s="49" t="s">
        <v>727</v>
      </c>
      <c r="B32" s="506" t="s">
        <v>728</v>
      </c>
      <c r="C32" s="107">
        <f>Jan20!O32</f>
        <v>14076627.82</v>
      </c>
      <c r="D32" s="10">
        <f>Jan20!P32</f>
        <v>0</v>
      </c>
      <c r="E32" s="9"/>
      <c r="F32" s="52"/>
      <c r="G32" s="14"/>
      <c r="H32" s="53"/>
      <c r="I32" s="9"/>
      <c r="J32" s="52"/>
      <c r="K32" s="14">
        <v>697916.25</v>
      </c>
      <c r="L32" s="53"/>
      <c r="M32" s="14"/>
      <c r="N32" s="52"/>
      <c r="O32" s="121">
        <f t="shared" si="0"/>
        <v>14774544.07</v>
      </c>
      <c r="P32" s="122"/>
    </row>
    <row r="33" spans="1:16" s="29" customFormat="1" ht="12.75">
      <c r="A33" s="49" t="s">
        <v>12</v>
      </c>
      <c r="B33" s="506" t="s">
        <v>111</v>
      </c>
      <c r="C33" s="107">
        <f>Jan20!O33</f>
        <v>1208049.99</v>
      </c>
      <c r="D33" s="10">
        <f>Jan20!P33</f>
        <v>0</v>
      </c>
      <c r="E33" s="9"/>
      <c r="F33" s="52"/>
      <c r="G33" s="14"/>
      <c r="H33" s="53"/>
      <c r="I33" s="9"/>
      <c r="J33" s="52"/>
      <c r="K33" s="14"/>
      <c r="L33" s="53"/>
      <c r="M33" s="14"/>
      <c r="N33" s="52"/>
      <c r="O33" s="121">
        <f t="shared" si="0"/>
        <v>1208049.99</v>
      </c>
      <c r="P33" s="122">
        <f>D33+F33+J33+N33+H33-E33-G33-I33-M33+L33-K33</f>
        <v>0</v>
      </c>
    </row>
    <row r="34" spans="1:16" s="29" customFormat="1" ht="12.75">
      <c r="A34" s="49" t="s">
        <v>120</v>
      </c>
      <c r="B34" s="506" t="s">
        <v>112</v>
      </c>
      <c r="C34" s="107">
        <f>Jan20!O34</f>
        <v>0</v>
      </c>
      <c r="D34" s="10">
        <f>Jan20!P34</f>
        <v>364327.7</v>
      </c>
      <c r="E34" s="9"/>
      <c r="F34" s="52"/>
      <c r="G34" s="14"/>
      <c r="H34" s="53"/>
      <c r="I34" s="9"/>
      <c r="J34" s="52"/>
      <c r="K34" s="14"/>
      <c r="L34" s="53"/>
      <c r="M34" s="14"/>
      <c r="N34" s="52"/>
      <c r="O34" s="121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506" t="s">
        <v>113</v>
      </c>
      <c r="C35" s="107">
        <f>Jan20!O35</f>
        <v>718378</v>
      </c>
      <c r="D35" s="10">
        <f>Jan20!P35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52"/>
      <c r="O35" s="121">
        <f t="shared" si="0"/>
        <v>718378</v>
      </c>
      <c r="P35" s="122">
        <f>D35+F35+J35+N35+H35-E35-G35-I35-M35+L35-K35</f>
        <v>0</v>
      </c>
    </row>
    <row r="36" spans="1:16" s="29" customFormat="1" ht="12.75">
      <c r="A36" s="49" t="s">
        <v>115</v>
      </c>
      <c r="B36" s="506" t="s">
        <v>121</v>
      </c>
      <c r="C36" s="107">
        <f>Jan20!O36</f>
        <v>0</v>
      </c>
      <c r="D36" s="10">
        <f>Jan20!P36</f>
        <v>422310.89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21"/>
      <c r="P36" s="122">
        <f>D36+F36+J36+N36+H36-E36-G36-I36-M36+L36-K36</f>
        <v>422310.89</v>
      </c>
    </row>
    <row r="37" spans="1:16" s="29" customFormat="1" ht="12.75">
      <c r="A37" s="49" t="s">
        <v>780</v>
      </c>
      <c r="B37" s="262" t="s">
        <v>778</v>
      </c>
      <c r="C37" s="107">
        <f>Jan20!O37</f>
        <v>0</v>
      </c>
      <c r="D37" s="10">
        <f>Jan20!P37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121">
        <f t="shared" si="0"/>
        <v>0</v>
      </c>
      <c r="P37" s="122"/>
    </row>
    <row r="38" spans="1:16" s="29" customFormat="1" ht="12.75">
      <c r="A38" s="49" t="s">
        <v>781</v>
      </c>
      <c r="B38" s="262" t="s">
        <v>779</v>
      </c>
      <c r="C38" s="107">
        <f>Jan20!O38</f>
        <v>0</v>
      </c>
      <c r="D38" s="10">
        <f>Jan20!P38</f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121"/>
      <c r="P38" s="122">
        <f>D38+F38+J38+N38+H38-E38-G38-I38-M38+L38-K38</f>
        <v>0</v>
      </c>
    </row>
    <row r="39" spans="1:16" s="29" customFormat="1" ht="12.75">
      <c r="A39" s="49" t="s">
        <v>782</v>
      </c>
      <c r="B39" s="262" t="s">
        <v>783</v>
      </c>
      <c r="C39" s="107">
        <f>Jan20!O39</f>
        <v>0</v>
      </c>
      <c r="D39" s="10">
        <f>Jan20!P39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21">
        <f t="shared" si="0"/>
        <v>0</v>
      </c>
      <c r="P39" s="122"/>
    </row>
    <row r="40" spans="1:16" s="29" customFormat="1" ht="12.75">
      <c r="A40" s="49" t="s">
        <v>784</v>
      </c>
      <c r="B40" s="262" t="s">
        <v>785</v>
      </c>
      <c r="C40" s="107">
        <f>Jan20!O40</f>
        <v>0</v>
      </c>
      <c r="D40" s="10">
        <f>Jan20!P40</f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21"/>
      <c r="P40" s="122">
        <f>D40+F40+J40+N40+H40-E40-G40-I40-M40+L40-K40</f>
        <v>0</v>
      </c>
    </row>
    <row r="41" spans="1:16" s="29" customFormat="1" ht="12.75">
      <c r="A41" s="49" t="s">
        <v>786</v>
      </c>
      <c r="B41" s="262" t="s">
        <v>788</v>
      </c>
      <c r="C41" s="107"/>
      <c r="D41" s="10"/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121"/>
      <c r="P41" s="122"/>
    </row>
    <row r="42" spans="1:16" s="29" customFormat="1" ht="12.75">
      <c r="A42" s="49" t="s">
        <v>787</v>
      </c>
      <c r="B42" s="262" t="s">
        <v>789</v>
      </c>
      <c r="C42" s="107"/>
      <c r="D42" s="10"/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21"/>
      <c r="P42" s="122"/>
    </row>
    <row r="43" spans="1:16" s="29" customFormat="1" ht="12.75">
      <c r="A43" s="49" t="s">
        <v>530</v>
      </c>
      <c r="B43" s="506" t="s">
        <v>533</v>
      </c>
      <c r="C43" s="107">
        <f>Jan20!O43</f>
        <v>40622</v>
      </c>
      <c r="D43" s="10">
        <f>Jan20!P43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21">
        <f t="shared" si="0"/>
        <v>40622</v>
      </c>
      <c r="P43" s="122"/>
    </row>
    <row r="44" spans="1:16" s="29" customFormat="1" ht="12.75">
      <c r="A44" s="49" t="s">
        <v>531</v>
      </c>
      <c r="B44" s="506" t="s">
        <v>532</v>
      </c>
      <c r="C44" s="107">
        <f>Jan20!O44</f>
        <v>0</v>
      </c>
      <c r="D44" s="10">
        <f>Jan20!P44</f>
        <v>9647.73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21"/>
      <c r="P44" s="122">
        <f>D44+F44+J44+N44+H44-E44-G44-I44-M44+L44-K44</f>
        <v>9647.73</v>
      </c>
    </row>
    <row r="45" spans="1:16" s="29" customFormat="1" ht="12.75">
      <c r="A45" s="49" t="s">
        <v>128</v>
      </c>
      <c r="B45" s="506" t="s">
        <v>130</v>
      </c>
      <c r="C45" s="107">
        <f>Jan20!O45</f>
        <v>545970</v>
      </c>
      <c r="D45" s="10">
        <f>Jan20!P45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121">
        <f t="shared" si="0"/>
        <v>545970</v>
      </c>
      <c r="P45" s="122"/>
    </row>
    <row r="46" spans="1:16" s="29" customFormat="1" ht="12.75">
      <c r="A46" s="49" t="s">
        <v>129</v>
      </c>
      <c r="B46" s="506" t="s">
        <v>131</v>
      </c>
      <c r="C46" s="107">
        <f>Jan20!O46</f>
        <v>0</v>
      </c>
      <c r="D46" s="10">
        <f>Jan20!P46</f>
        <v>370243.56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121"/>
      <c r="P46" s="122">
        <f>D46+F46+J46+N46+H46-E46-G46-I46-M46+L46-K46</f>
        <v>370243.56</v>
      </c>
    </row>
    <row r="47" spans="1:16" s="29" customFormat="1" ht="12.75">
      <c r="A47" s="49" t="s">
        <v>41</v>
      </c>
      <c r="B47" s="506" t="s">
        <v>126</v>
      </c>
      <c r="C47" s="107">
        <f>Jan20!O47</f>
        <v>2391000</v>
      </c>
      <c r="D47" s="10">
        <f>Jan20!P47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21">
        <f t="shared" si="0"/>
        <v>2391000</v>
      </c>
      <c r="P47" s="122"/>
    </row>
    <row r="48" spans="1:16" s="29" customFormat="1" ht="12.75">
      <c r="A48" s="49" t="s">
        <v>42</v>
      </c>
      <c r="B48" s="506" t="s">
        <v>127</v>
      </c>
      <c r="C48" s="107">
        <f>Jan20!O48</f>
        <v>0</v>
      </c>
      <c r="D48" s="10">
        <f>Jan20!P48</f>
        <v>854100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21"/>
      <c r="P48" s="122">
        <f>D48+F48+J48+N48+H48-E48-G48-I48-M48+L48-K48</f>
        <v>854100</v>
      </c>
    </row>
    <row r="49" spans="1:16" s="29" customFormat="1" ht="12.75">
      <c r="A49" s="49" t="s">
        <v>13</v>
      </c>
      <c r="B49" s="506" t="s">
        <v>118</v>
      </c>
      <c r="C49" s="107">
        <f>Jan20!O49</f>
        <v>631727.2</v>
      </c>
      <c r="D49" s="10">
        <f>Jan20!P49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121">
        <f t="shared" si="0"/>
        <v>631727.2</v>
      </c>
      <c r="P49" s="122"/>
    </row>
    <row r="50" spans="1:16" s="29" customFormat="1" ht="12.75">
      <c r="A50" s="49" t="s">
        <v>14</v>
      </c>
      <c r="B50" s="506" t="s">
        <v>119</v>
      </c>
      <c r="C50" s="107">
        <f>Jan20!O50</f>
        <v>0</v>
      </c>
      <c r="D50" s="10">
        <f>Jan20!P50</f>
        <v>319092.84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21"/>
      <c r="P50" s="122">
        <f>D50+F50+J50+N50+H50-E50-G50-I50-M50+L50-K50</f>
        <v>319092.84</v>
      </c>
    </row>
    <row r="51" spans="1:16" s="29" customFormat="1" ht="12.75">
      <c r="A51" s="49" t="s">
        <v>680</v>
      </c>
      <c r="B51" s="506" t="s">
        <v>681</v>
      </c>
      <c r="C51" s="107">
        <f>Jan20!O51</f>
        <v>0</v>
      </c>
      <c r="D51" s="10">
        <f>Jan20!P51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21">
        <f t="shared" si="0"/>
        <v>0</v>
      </c>
      <c r="P51" s="122"/>
    </row>
    <row r="52" spans="1:16" s="29" customFormat="1" ht="12.75">
      <c r="A52" s="49" t="s">
        <v>683</v>
      </c>
      <c r="B52" s="506" t="s">
        <v>682</v>
      </c>
      <c r="C52" s="107">
        <f>Jan20!O52</f>
        <v>0</v>
      </c>
      <c r="D52" s="10">
        <f>Jan20!P52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21"/>
      <c r="P52" s="122">
        <f>D52+F52+J52+N52+H52-E52-G52-I52-M52+L52-K52</f>
        <v>0</v>
      </c>
    </row>
    <row r="53" spans="1:16" s="29" customFormat="1" ht="12.75">
      <c r="A53" s="49" t="s">
        <v>559</v>
      </c>
      <c r="B53" s="506" t="s">
        <v>558</v>
      </c>
      <c r="C53" s="107">
        <f>Jan20!O53</f>
        <v>33087500</v>
      </c>
      <c r="D53" s="10">
        <f>Jan20!P53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21">
        <f t="shared" si="0"/>
        <v>33087500</v>
      </c>
      <c r="P53" s="122"/>
    </row>
    <row r="54" spans="1:16" s="29" customFormat="1" ht="12.75">
      <c r="A54" s="54" t="s">
        <v>15</v>
      </c>
      <c r="B54" s="506" t="s">
        <v>132</v>
      </c>
      <c r="C54" s="107">
        <f>Jan20!O54</f>
        <v>327763.39</v>
      </c>
      <c r="D54" s="10">
        <f>Jan20!P54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121">
        <f t="shared" si="0"/>
        <v>327763.39</v>
      </c>
      <c r="P54" s="122"/>
    </row>
    <row r="55" spans="1:17" s="29" customFormat="1" ht="12.75">
      <c r="A55" s="8"/>
      <c r="B55" s="249"/>
      <c r="C55" s="107">
        <f>Jan20!O55</f>
        <v>0</v>
      </c>
      <c r="D55" s="10">
        <f>Jan20!P55</f>
        <v>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21"/>
      <c r="P55" s="122"/>
      <c r="Q55" s="55"/>
    </row>
    <row r="56" spans="1:17" s="29" customFormat="1" ht="12.75" customHeight="1">
      <c r="A56" s="7" t="s">
        <v>16</v>
      </c>
      <c r="B56" s="249"/>
      <c r="C56" s="107"/>
      <c r="D56" s="10">
        <f>Jan20!P56</f>
        <v>0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21"/>
      <c r="P56" s="122"/>
      <c r="Q56" s="55"/>
    </row>
    <row r="57" spans="1:17" s="29" customFormat="1" ht="12.75" customHeight="1">
      <c r="A57" s="49" t="s">
        <v>31</v>
      </c>
      <c r="B57" s="262" t="s">
        <v>133</v>
      </c>
      <c r="C57" s="107"/>
      <c r="D57" s="10">
        <f>Jan20!P57</f>
        <v>35250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121"/>
      <c r="P57" s="122">
        <f aca="true" t="shared" si="1" ref="P57:P66">D57+F57+J57+N57+H57-E57-G57-I57-M57+L57-K57</f>
        <v>35250</v>
      </c>
      <c r="Q57" s="55"/>
    </row>
    <row r="58" spans="1:16" s="29" customFormat="1" ht="12.75">
      <c r="A58" s="49" t="s">
        <v>46</v>
      </c>
      <c r="B58" s="262" t="s">
        <v>134</v>
      </c>
      <c r="C58" s="107"/>
      <c r="D58" s="10">
        <f>Jan20!P58</f>
        <v>188892.40000000002</v>
      </c>
      <c r="E58" s="9"/>
      <c r="F58" s="52">
        <v>191773.43</v>
      </c>
      <c r="G58" s="14"/>
      <c r="H58" s="12"/>
      <c r="I58" s="9"/>
      <c r="J58" s="52"/>
      <c r="K58" s="14"/>
      <c r="L58" s="12"/>
      <c r="M58" s="14">
        <v>188892.4</v>
      </c>
      <c r="N58" s="52"/>
      <c r="O58" s="121"/>
      <c r="P58" s="122">
        <f t="shared" si="1"/>
        <v>191773.43000000002</v>
      </c>
    </row>
    <row r="59" spans="1:16" s="29" customFormat="1" ht="12.75">
      <c r="A59" s="74" t="s">
        <v>685</v>
      </c>
      <c r="B59" s="264" t="s">
        <v>684</v>
      </c>
      <c r="C59" s="107"/>
      <c r="D59" s="10">
        <f>Jan20!P59</f>
        <v>561732.72</v>
      </c>
      <c r="E59" s="9">
        <v>86068.35</v>
      </c>
      <c r="F59" s="52">
        <v>107001.9</v>
      </c>
      <c r="G59" s="14"/>
      <c r="H59" s="12"/>
      <c r="I59" s="9"/>
      <c r="J59" s="52"/>
      <c r="K59" s="14"/>
      <c r="L59" s="12"/>
      <c r="M59" s="14"/>
      <c r="N59" s="52"/>
      <c r="O59" s="121"/>
      <c r="P59" s="122">
        <f t="shared" si="1"/>
        <v>582666.27</v>
      </c>
    </row>
    <row r="60" spans="1:16" s="29" customFormat="1" ht="12.75">
      <c r="A60" s="74" t="s">
        <v>686</v>
      </c>
      <c r="B60" s="264" t="s">
        <v>688</v>
      </c>
      <c r="C60" s="107"/>
      <c r="D60" s="10">
        <f>Jan20!P60</f>
        <v>105656.68999999999</v>
      </c>
      <c r="E60" s="9">
        <v>95208.43</v>
      </c>
      <c r="F60" s="52">
        <v>95208.43</v>
      </c>
      <c r="G60" s="14"/>
      <c r="H60" s="12"/>
      <c r="I60" s="9"/>
      <c r="J60" s="52"/>
      <c r="K60" s="14"/>
      <c r="L60" s="12"/>
      <c r="M60" s="14"/>
      <c r="N60" s="52"/>
      <c r="O60" s="121"/>
      <c r="P60" s="122">
        <f t="shared" si="1"/>
        <v>105656.69</v>
      </c>
    </row>
    <row r="61" spans="1:16" s="29" customFormat="1" ht="12.75">
      <c r="A61" s="74" t="s">
        <v>687</v>
      </c>
      <c r="B61" s="264" t="s">
        <v>689</v>
      </c>
      <c r="C61" s="107"/>
      <c r="D61" s="10">
        <f>Jan20!P61</f>
        <v>25105.72</v>
      </c>
      <c r="E61" s="9">
        <v>13327.86</v>
      </c>
      <c r="F61" s="52">
        <v>13327.86</v>
      </c>
      <c r="G61" s="14"/>
      <c r="H61" s="12"/>
      <c r="I61" s="9"/>
      <c r="J61" s="52"/>
      <c r="K61" s="14"/>
      <c r="L61" s="12"/>
      <c r="M61" s="14"/>
      <c r="N61" s="52"/>
      <c r="O61" s="121"/>
      <c r="P61" s="122">
        <f t="shared" si="1"/>
        <v>25105.72</v>
      </c>
    </row>
    <row r="62" spans="1:17" s="29" customFormat="1" ht="12.75">
      <c r="A62" s="49" t="s">
        <v>690</v>
      </c>
      <c r="B62" s="262" t="s">
        <v>692</v>
      </c>
      <c r="C62" s="107"/>
      <c r="D62" s="10">
        <f>Jan20!P62</f>
        <v>8611.039999999999</v>
      </c>
      <c r="E62" s="9">
        <v>3084.68</v>
      </c>
      <c r="F62" s="52">
        <v>3084.68</v>
      </c>
      <c r="G62" s="14"/>
      <c r="H62" s="12"/>
      <c r="I62" s="9"/>
      <c r="J62" s="52"/>
      <c r="K62" s="14"/>
      <c r="L62" s="12"/>
      <c r="M62" s="14"/>
      <c r="N62" s="52"/>
      <c r="O62" s="121"/>
      <c r="P62" s="122">
        <f t="shared" si="1"/>
        <v>8611.039999999999</v>
      </c>
      <c r="Q62" s="55"/>
    </row>
    <row r="63" spans="1:17" s="29" customFormat="1" ht="12.75">
      <c r="A63" s="49" t="s">
        <v>691</v>
      </c>
      <c r="B63" s="262" t="s">
        <v>693</v>
      </c>
      <c r="C63" s="107"/>
      <c r="D63" s="10">
        <f>Jan20!P63</f>
        <v>2493</v>
      </c>
      <c r="E63" s="9">
        <v>408.33</v>
      </c>
      <c r="F63" s="52">
        <v>408.33</v>
      </c>
      <c r="G63" s="14"/>
      <c r="H63" s="12"/>
      <c r="I63" s="9"/>
      <c r="J63" s="52"/>
      <c r="K63" s="14"/>
      <c r="L63" s="12"/>
      <c r="M63" s="14"/>
      <c r="N63" s="52"/>
      <c r="O63" s="121"/>
      <c r="P63" s="122">
        <f t="shared" si="1"/>
        <v>2493</v>
      </c>
      <c r="Q63" s="55"/>
    </row>
    <row r="64" spans="1:17" s="29" customFormat="1" ht="12.75">
      <c r="A64" s="49" t="s">
        <v>47</v>
      </c>
      <c r="B64" s="262" t="s">
        <v>137</v>
      </c>
      <c r="C64" s="107"/>
      <c r="D64" s="10">
        <f>Jan20!P64</f>
        <v>11566.91</v>
      </c>
      <c r="E64" s="9"/>
      <c r="F64" s="52">
        <v>16179.39</v>
      </c>
      <c r="G64" s="14"/>
      <c r="H64" s="12"/>
      <c r="I64" s="9"/>
      <c r="J64" s="52"/>
      <c r="K64" s="14"/>
      <c r="L64" s="12"/>
      <c r="M64" s="14"/>
      <c r="N64" s="52"/>
      <c r="O64" s="121"/>
      <c r="P64" s="122">
        <f t="shared" si="1"/>
        <v>27746.3</v>
      </c>
      <c r="Q64" s="55"/>
    </row>
    <row r="65" spans="1:17" s="29" customFormat="1" ht="12.75">
      <c r="A65" s="74" t="s">
        <v>59</v>
      </c>
      <c r="B65" s="264" t="s">
        <v>138</v>
      </c>
      <c r="C65" s="107"/>
      <c r="D65" s="10">
        <f>Jan20!P65</f>
        <v>124273.66</v>
      </c>
      <c r="E65" s="9">
        <v>282869.29</v>
      </c>
      <c r="F65" s="52">
        <v>175505.36</v>
      </c>
      <c r="G65" s="14"/>
      <c r="H65" s="12"/>
      <c r="I65" s="9"/>
      <c r="J65" s="52"/>
      <c r="K65" s="14"/>
      <c r="L65" s="12"/>
      <c r="M65" s="14"/>
      <c r="N65" s="52"/>
      <c r="O65" s="121"/>
      <c r="P65" s="122">
        <f t="shared" si="1"/>
        <v>16909.73000000004</v>
      </c>
      <c r="Q65" s="55"/>
    </row>
    <row r="66" spans="1:17" s="29" customFormat="1" ht="12.75">
      <c r="A66" s="49" t="s">
        <v>17</v>
      </c>
      <c r="B66" s="262" t="s">
        <v>139</v>
      </c>
      <c r="C66" s="107"/>
      <c r="D66" s="10">
        <f>Jan20!P66</f>
        <v>0</v>
      </c>
      <c r="E66" s="9"/>
      <c r="F66" s="52"/>
      <c r="G66" s="14"/>
      <c r="H66" s="12"/>
      <c r="I66" s="9"/>
      <c r="J66" s="52"/>
      <c r="K66" s="14"/>
      <c r="L66" s="12"/>
      <c r="M66" s="14"/>
      <c r="N66" s="52"/>
      <c r="O66" s="121"/>
      <c r="P66" s="122">
        <f t="shared" si="1"/>
        <v>0</v>
      </c>
      <c r="Q66" s="55"/>
    </row>
    <row r="67" spans="1:16" s="29" customFormat="1" ht="12.75">
      <c r="A67" s="8"/>
      <c r="B67" s="249"/>
      <c r="C67" s="107"/>
      <c r="D67" s="10">
        <f>Jan20!P67</f>
        <v>0</v>
      </c>
      <c r="E67" s="9"/>
      <c r="F67" s="52"/>
      <c r="G67" s="14"/>
      <c r="H67" s="12"/>
      <c r="I67" s="9"/>
      <c r="J67" s="52"/>
      <c r="K67" s="14"/>
      <c r="L67" s="12"/>
      <c r="M67" s="14"/>
      <c r="N67" s="52"/>
      <c r="O67" s="121"/>
      <c r="P67" s="122"/>
    </row>
    <row r="68" spans="1:16" s="29" customFormat="1" ht="12.75">
      <c r="A68" s="7" t="s">
        <v>32</v>
      </c>
      <c r="B68" s="249"/>
      <c r="C68" s="107"/>
      <c r="D68" s="10">
        <f>Jan20!P68</f>
        <v>0</v>
      </c>
      <c r="E68" s="9"/>
      <c r="F68" s="52"/>
      <c r="G68" s="14"/>
      <c r="H68" s="12"/>
      <c r="I68" s="9"/>
      <c r="J68" s="52"/>
      <c r="K68" s="14"/>
      <c r="L68" s="12"/>
      <c r="M68" s="14"/>
      <c r="N68" s="52"/>
      <c r="O68" s="121"/>
      <c r="P68" s="122"/>
    </row>
    <row r="69" spans="1:17" s="29" customFormat="1" ht="12.75">
      <c r="A69" s="49" t="s">
        <v>18</v>
      </c>
      <c r="B69" s="262" t="s">
        <v>140</v>
      </c>
      <c r="C69" s="107"/>
      <c r="D69" s="10">
        <f>Jan20!P69</f>
        <v>93682852.88</v>
      </c>
      <c r="E69" s="9"/>
      <c r="F69" s="52"/>
      <c r="G69" s="14"/>
      <c r="H69" s="12"/>
      <c r="I69" s="9"/>
      <c r="J69" s="52"/>
      <c r="K69" s="14"/>
      <c r="L69" s="12"/>
      <c r="M69" s="14"/>
      <c r="N69" s="14"/>
      <c r="O69" s="121"/>
      <c r="P69" s="122">
        <f>D69+F69+J69+N69+H69-E69-G69-I69-M69+L69-K69</f>
        <v>93682852.88</v>
      </c>
      <c r="Q69" s="55"/>
    </row>
    <row r="70" spans="1:16" s="29" customFormat="1" ht="12.75">
      <c r="A70" s="49" t="s">
        <v>142</v>
      </c>
      <c r="B70" s="249" t="s">
        <v>141</v>
      </c>
      <c r="C70" s="107"/>
      <c r="D70" s="10">
        <f>Jan20!P70</f>
        <v>9967167.66</v>
      </c>
      <c r="E70" s="9"/>
      <c r="F70" s="52"/>
      <c r="G70" s="14"/>
      <c r="H70" s="12"/>
      <c r="I70" s="9"/>
      <c r="J70" s="52"/>
      <c r="K70" s="14"/>
      <c r="L70" s="12"/>
      <c r="M70" s="14"/>
      <c r="N70" s="14">
        <f>9373275+188892.4</f>
        <v>9562167.4</v>
      </c>
      <c r="O70" s="121"/>
      <c r="P70" s="122">
        <f>D70+F70+J70+N70+H70-E70-G70-I70-M70+L70-K70</f>
        <v>19529335.060000002</v>
      </c>
    </row>
    <row r="71" spans="1:16" s="29" customFormat="1" ht="12.75">
      <c r="A71" s="49" t="s">
        <v>673</v>
      </c>
      <c r="B71" s="249" t="s">
        <v>745</v>
      </c>
      <c r="C71" s="107"/>
      <c r="D71" s="10">
        <f>Jan20!P71</f>
        <v>2268265.93</v>
      </c>
      <c r="E71" s="9"/>
      <c r="F71" s="52"/>
      <c r="G71" s="14"/>
      <c r="H71" s="12"/>
      <c r="I71" s="9"/>
      <c r="J71" s="52"/>
      <c r="K71" s="14"/>
      <c r="L71" s="12"/>
      <c r="M71" s="14"/>
      <c r="N71" s="9">
        <v>12027579.42</v>
      </c>
      <c r="O71" s="121"/>
      <c r="P71" s="122">
        <f>D71+F71+J71+N71+H71-E71-G71-I71-M71+L71-K71</f>
        <v>14295845.35</v>
      </c>
    </row>
    <row r="72" spans="1:16" s="29" customFormat="1" ht="12.75">
      <c r="A72" s="49"/>
      <c r="B72" s="249"/>
      <c r="C72" s="107"/>
      <c r="D72" s="10">
        <f>Jan20!P72</f>
        <v>0</v>
      </c>
      <c r="E72" s="9"/>
      <c r="F72" s="52"/>
      <c r="G72" s="14"/>
      <c r="H72" s="12"/>
      <c r="I72" s="9"/>
      <c r="J72" s="52"/>
      <c r="K72" s="14"/>
      <c r="L72" s="12"/>
      <c r="M72" s="14"/>
      <c r="N72" s="52"/>
      <c r="O72" s="121"/>
      <c r="P72" s="122"/>
    </row>
    <row r="73" spans="1:17" s="29" customFormat="1" ht="12.75">
      <c r="A73" s="4" t="s">
        <v>19</v>
      </c>
      <c r="B73" s="248"/>
      <c r="C73" s="107"/>
      <c r="D73" s="10">
        <f>Jan20!P73</f>
        <v>0</v>
      </c>
      <c r="E73" s="9"/>
      <c r="F73" s="52"/>
      <c r="G73" s="14"/>
      <c r="H73" s="12"/>
      <c r="I73" s="9"/>
      <c r="J73" s="52"/>
      <c r="K73" s="14"/>
      <c r="L73" s="12"/>
      <c r="M73" s="14"/>
      <c r="N73" s="52"/>
      <c r="O73" s="121"/>
      <c r="P73" s="122"/>
      <c r="Q73" s="468"/>
    </row>
    <row r="74" spans="1:17" s="29" customFormat="1" ht="12.75">
      <c r="A74" s="23" t="s">
        <v>143</v>
      </c>
      <c r="B74" s="265" t="s">
        <v>144</v>
      </c>
      <c r="C74" s="107">
        <f>Jan20!O74</f>
        <v>1188910</v>
      </c>
      <c r="D74" s="10">
        <f>Jan20!P74</f>
        <v>0</v>
      </c>
      <c r="E74" s="9">
        <v>1188910.04</v>
      </c>
      <c r="F74" s="52"/>
      <c r="G74" s="14"/>
      <c r="H74" s="12"/>
      <c r="I74" s="9"/>
      <c r="J74" s="52"/>
      <c r="K74" s="14"/>
      <c r="L74" s="12"/>
      <c r="M74" s="52"/>
      <c r="N74" s="52"/>
      <c r="O74" s="121">
        <f t="shared" si="0"/>
        <v>2377820.04</v>
      </c>
      <c r="P74" s="122"/>
      <c r="Q74" s="468"/>
    </row>
    <row r="75" spans="1:17" s="29" customFormat="1" ht="12.75">
      <c r="A75" s="23" t="s">
        <v>20</v>
      </c>
      <c r="B75" s="265" t="s">
        <v>145</v>
      </c>
      <c r="C75" s="107">
        <f>Jan20!O75</f>
        <v>42000</v>
      </c>
      <c r="D75" s="10">
        <f>Jan20!P75</f>
        <v>0</v>
      </c>
      <c r="E75" s="25">
        <v>42000</v>
      </c>
      <c r="F75" s="26"/>
      <c r="G75" s="27"/>
      <c r="H75" s="28"/>
      <c r="I75" s="25"/>
      <c r="J75" s="26"/>
      <c r="K75" s="27"/>
      <c r="L75" s="28"/>
      <c r="M75" s="27"/>
      <c r="N75" s="26"/>
      <c r="O75" s="121">
        <f t="shared" si="0"/>
        <v>84000</v>
      </c>
      <c r="P75" s="122"/>
      <c r="Q75" s="468"/>
    </row>
    <row r="76" spans="1:17" s="29" customFormat="1" ht="12.75">
      <c r="A76" s="23" t="s">
        <v>21</v>
      </c>
      <c r="B76" s="265" t="s">
        <v>146</v>
      </c>
      <c r="C76" s="107">
        <f>Jan20!O76</f>
        <v>19000</v>
      </c>
      <c r="D76" s="10">
        <f>Jan20!P76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121">
        <f t="shared" si="0"/>
        <v>38000</v>
      </c>
      <c r="P76" s="62"/>
      <c r="Q76" s="468"/>
    </row>
    <row r="77" spans="1:17" s="29" customFormat="1" ht="12.75">
      <c r="A77" s="23" t="s">
        <v>22</v>
      </c>
      <c r="B77" s="265" t="s">
        <v>147</v>
      </c>
      <c r="C77" s="107">
        <f>Jan20!O77</f>
        <v>19000</v>
      </c>
      <c r="D77" s="10">
        <f>Jan20!P77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121">
        <f t="shared" si="0"/>
        <v>38000</v>
      </c>
      <c r="P77" s="62"/>
      <c r="Q77" s="468"/>
    </row>
    <row r="78" spans="1:17" s="29" customFormat="1" ht="12.75">
      <c r="A78" s="23" t="s">
        <v>67</v>
      </c>
      <c r="B78" s="265" t="s">
        <v>527</v>
      </c>
      <c r="C78" s="107">
        <f>Jan20!O78</f>
        <v>0</v>
      </c>
      <c r="D78" s="10">
        <f>Jan20!P78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121">
        <f t="shared" si="0"/>
        <v>0</v>
      </c>
      <c r="P78" s="62"/>
      <c r="Q78" s="468"/>
    </row>
    <row r="79" spans="1:17" s="29" customFormat="1" ht="13.5" customHeight="1">
      <c r="A79" s="23" t="s">
        <v>149</v>
      </c>
      <c r="B79" s="265" t="s">
        <v>148</v>
      </c>
      <c r="C79" s="107">
        <f>Jan20!O79</f>
        <v>0</v>
      </c>
      <c r="D79" s="10">
        <f>Jan20!P79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121">
        <f t="shared" si="0"/>
        <v>0</v>
      </c>
      <c r="P79" s="62"/>
      <c r="Q79" s="468"/>
    </row>
    <row r="80" spans="1:17" s="29" customFormat="1" ht="12.75" customHeight="1">
      <c r="A80" s="23" t="s">
        <v>66</v>
      </c>
      <c r="B80" s="265" t="s">
        <v>150</v>
      </c>
      <c r="C80" s="107">
        <f>Jan20!O80</f>
        <v>0</v>
      </c>
      <c r="D80" s="10">
        <f>Jan20!P80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121">
        <f t="shared" si="0"/>
        <v>0</v>
      </c>
      <c r="P80" s="62"/>
      <c r="Q80" s="468"/>
    </row>
    <row r="81" spans="1:17" s="29" customFormat="1" ht="12.75">
      <c r="A81" s="23" t="s">
        <v>221</v>
      </c>
      <c r="B81" s="265" t="s">
        <v>537</v>
      </c>
      <c r="C81" s="107">
        <f>Jan20!O81</f>
        <v>0</v>
      </c>
      <c r="D81" s="10">
        <f>Jan20!P81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121">
        <f t="shared" si="0"/>
        <v>0</v>
      </c>
      <c r="P81" s="62"/>
      <c r="Q81" s="468"/>
    </row>
    <row r="82" spans="1:17" s="29" customFormat="1" ht="12.75">
      <c r="A82" s="23" t="s">
        <v>76</v>
      </c>
      <c r="B82" s="265" t="s">
        <v>153</v>
      </c>
      <c r="C82" s="107">
        <f>Jan20!O82</f>
        <v>0</v>
      </c>
      <c r="D82" s="10">
        <f>Jan20!P82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121">
        <f t="shared" si="0"/>
        <v>0</v>
      </c>
      <c r="P82" s="62"/>
      <c r="Q82" s="468"/>
    </row>
    <row r="83" spans="1:17" s="29" customFormat="1" ht="12.75">
      <c r="A83" s="23" t="s">
        <v>242</v>
      </c>
      <c r="B83" s="265" t="s">
        <v>234</v>
      </c>
      <c r="C83" s="107">
        <f>Jan20!O83</f>
        <v>0</v>
      </c>
      <c r="D83" s="10">
        <f>Jan20!P83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121">
        <f t="shared" si="0"/>
        <v>0</v>
      </c>
      <c r="P83" s="62"/>
      <c r="Q83" s="468"/>
    </row>
    <row r="84" spans="1:17" s="29" customFormat="1" ht="12.75">
      <c r="A84" s="23" t="s">
        <v>75</v>
      </c>
      <c r="B84" s="265" t="s">
        <v>152</v>
      </c>
      <c r="C84" s="107">
        <f>Jan20!O84</f>
        <v>0</v>
      </c>
      <c r="D84" s="10">
        <f>Jan20!P84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121">
        <f t="shared" si="0"/>
        <v>0</v>
      </c>
      <c r="P84" s="62"/>
      <c r="Q84" s="468"/>
    </row>
    <row r="85" spans="1:17" s="29" customFormat="1" ht="12.75">
      <c r="A85" s="23" t="s">
        <v>70</v>
      </c>
      <c r="B85" s="265" t="s">
        <v>151</v>
      </c>
      <c r="C85" s="107">
        <f>Jan20!O85</f>
        <v>0</v>
      </c>
      <c r="D85" s="10">
        <f>Jan20!P85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121">
        <f t="shared" si="0"/>
        <v>0</v>
      </c>
      <c r="P85" s="62"/>
      <c r="Q85" s="468"/>
    </row>
    <row r="86" spans="1:17" s="29" customFormat="1" ht="12.75">
      <c r="A86" s="23" t="s">
        <v>562</v>
      </c>
      <c r="B86" s="265" t="s">
        <v>563</v>
      </c>
      <c r="C86" s="107">
        <f>Jan20!O86</f>
        <v>18000</v>
      </c>
      <c r="D86" s="10">
        <f>Jan20!P86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121">
        <f t="shared" si="0"/>
        <v>18000</v>
      </c>
      <c r="P86" s="62"/>
      <c r="Q86" s="468"/>
    </row>
    <row r="87" spans="1:17" s="29" customFormat="1" ht="12.75">
      <c r="A87" s="23" t="s">
        <v>564</v>
      </c>
      <c r="B87" s="265" t="s">
        <v>565</v>
      </c>
      <c r="C87" s="107">
        <f>Jan20!O87</f>
        <v>0</v>
      </c>
      <c r="D87" s="10">
        <f>Jan20!P87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121">
        <f t="shared" si="0"/>
        <v>0</v>
      </c>
      <c r="P87" s="62"/>
      <c r="Q87" s="468"/>
    </row>
    <row r="88" spans="1:17" s="29" customFormat="1" ht="12.75">
      <c r="A88" s="23" t="s">
        <v>553</v>
      </c>
      <c r="B88" s="265" t="s">
        <v>554</v>
      </c>
      <c r="C88" s="107">
        <f>Jan20!O88</f>
        <v>0</v>
      </c>
      <c r="D88" s="10">
        <f>Jan20!P88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121">
        <f t="shared" si="0"/>
        <v>0</v>
      </c>
      <c r="P88" s="62"/>
      <c r="Q88" s="468"/>
    </row>
    <row r="89" spans="1:17" s="29" customFormat="1" ht="12.75" customHeight="1">
      <c r="A89" s="23" t="s">
        <v>33</v>
      </c>
      <c r="B89" s="265" t="s">
        <v>154</v>
      </c>
      <c r="C89" s="107">
        <f>Jan20!O89</f>
        <v>0</v>
      </c>
      <c r="D89" s="10">
        <f>Jan20!P89</f>
        <v>0</v>
      </c>
      <c r="E89" s="25">
        <v>114757.8</v>
      </c>
      <c r="F89" s="26"/>
      <c r="G89" s="27"/>
      <c r="H89" s="28"/>
      <c r="I89" s="25"/>
      <c r="J89" s="26"/>
      <c r="K89" s="27"/>
      <c r="L89" s="28"/>
      <c r="M89" s="27"/>
      <c r="N89" s="26"/>
      <c r="O89" s="121">
        <f t="shared" si="0"/>
        <v>114757.8</v>
      </c>
      <c r="P89" s="62"/>
      <c r="Q89" s="468"/>
    </row>
    <row r="90" spans="1:17" s="29" customFormat="1" ht="12.75">
      <c r="A90" s="23" t="s">
        <v>34</v>
      </c>
      <c r="B90" s="265" t="s">
        <v>155</v>
      </c>
      <c r="C90" s="107">
        <f>Jan20!O90</f>
        <v>0</v>
      </c>
      <c r="D90" s="10">
        <f>Jan20!P90</f>
        <v>0</v>
      </c>
      <c r="E90" s="25">
        <v>3084.68</v>
      </c>
      <c r="F90" s="26"/>
      <c r="G90" s="27"/>
      <c r="H90" s="28"/>
      <c r="I90" s="25"/>
      <c r="J90" s="26"/>
      <c r="K90" s="27"/>
      <c r="L90" s="28"/>
      <c r="M90" s="27"/>
      <c r="N90" s="26"/>
      <c r="O90" s="121">
        <f t="shared" si="0"/>
        <v>3084.68</v>
      </c>
      <c r="P90" s="62"/>
      <c r="Q90" s="468"/>
    </row>
    <row r="91" spans="1:17" s="29" customFormat="1" ht="12.75">
      <c r="A91" s="23" t="s">
        <v>35</v>
      </c>
      <c r="B91" s="265" t="s">
        <v>156</v>
      </c>
      <c r="C91" s="107">
        <f>Jan20!O91</f>
        <v>0</v>
      </c>
      <c r="D91" s="10">
        <f>Jan20!P91</f>
        <v>0</v>
      </c>
      <c r="E91" s="25">
        <v>25287.69</v>
      </c>
      <c r="F91" s="26"/>
      <c r="G91" s="27"/>
      <c r="H91" s="28"/>
      <c r="I91" s="25"/>
      <c r="J91" s="26"/>
      <c r="K91" s="27"/>
      <c r="L91" s="28"/>
      <c r="M91" s="27"/>
      <c r="N91" s="26"/>
      <c r="O91" s="121">
        <f t="shared" si="0"/>
        <v>25287.69</v>
      </c>
      <c r="P91" s="62"/>
      <c r="Q91" s="468"/>
    </row>
    <row r="92" spans="1:17" s="29" customFormat="1" ht="13.5" customHeight="1">
      <c r="A92" s="23" t="s">
        <v>36</v>
      </c>
      <c r="B92" s="265" t="s">
        <v>157</v>
      </c>
      <c r="C92" s="107">
        <f>Jan20!O92</f>
        <v>0</v>
      </c>
      <c r="D92" s="10">
        <f>Jan20!P92</f>
        <v>0</v>
      </c>
      <c r="E92" s="25">
        <v>1900</v>
      </c>
      <c r="F92" s="26"/>
      <c r="G92" s="27"/>
      <c r="H92" s="28"/>
      <c r="I92" s="25"/>
      <c r="J92" s="26"/>
      <c r="K92" s="27"/>
      <c r="L92" s="28"/>
      <c r="M92" s="27"/>
      <c r="N92" s="26"/>
      <c r="O92" s="121">
        <f aca="true" t="shared" si="2" ref="O92:O156">C92+E92+I92+M92-D92-F92-J92-N92+G92-H92+K92-L92</f>
        <v>1900</v>
      </c>
      <c r="P92" s="62"/>
      <c r="Q92" s="468"/>
    </row>
    <row r="93" spans="1:17" s="29" customFormat="1" ht="13.5" customHeight="1">
      <c r="A93" s="23" t="s">
        <v>698</v>
      </c>
      <c r="B93" s="265" t="s">
        <v>699</v>
      </c>
      <c r="C93" s="107"/>
      <c r="D93" s="10"/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121">
        <f t="shared" si="2"/>
        <v>0</v>
      </c>
      <c r="P93" s="62"/>
      <c r="Q93" s="468"/>
    </row>
    <row r="94" spans="1:17" s="29" customFormat="1" ht="12.75">
      <c r="A94" s="23" t="s">
        <v>208</v>
      </c>
      <c r="B94" s="265" t="s">
        <v>207</v>
      </c>
      <c r="C94" s="107">
        <f>Jan20!O93</f>
        <v>10000</v>
      </c>
      <c r="D94" s="10">
        <f>Jan20!P93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6"/>
      <c r="O94" s="121">
        <f t="shared" si="2"/>
        <v>10000</v>
      </c>
      <c r="P94" s="62"/>
      <c r="Q94" s="468"/>
    </row>
    <row r="95" spans="1:17" s="29" customFormat="1" ht="12.75">
      <c r="A95" s="23" t="s">
        <v>98</v>
      </c>
      <c r="B95" s="265" t="s">
        <v>555</v>
      </c>
      <c r="C95" s="107">
        <f>Jan20!O94</f>
        <v>0</v>
      </c>
      <c r="D95" s="10">
        <f>Jan20!P94</f>
        <v>0</v>
      </c>
      <c r="E95" s="25"/>
      <c r="F95" s="26"/>
      <c r="G95" s="27"/>
      <c r="H95" s="28"/>
      <c r="I95" s="25"/>
      <c r="J95" s="26"/>
      <c r="K95" s="27"/>
      <c r="L95" s="28"/>
      <c r="M95" s="27"/>
      <c r="N95" s="26"/>
      <c r="O95" s="121">
        <f t="shared" si="2"/>
        <v>0</v>
      </c>
      <c r="P95" s="62"/>
      <c r="Q95" s="468"/>
    </row>
    <row r="96" spans="1:17" s="29" customFormat="1" ht="12.75">
      <c r="A96" s="23" t="s">
        <v>28</v>
      </c>
      <c r="B96" s="265" t="s">
        <v>158</v>
      </c>
      <c r="C96" s="107">
        <f>Jan20!O95</f>
        <v>104729.7</v>
      </c>
      <c r="D96" s="10">
        <f>Jan20!P95</f>
        <v>0</v>
      </c>
      <c r="E96" s="25">
        <v>278617.02</v>
      </c>
      <c r="F96" s="26"/>
      <c r="G96" s="27"/>
      <c r="H96" s="28"/>
      <c r="I96" s="25"/>
      <c r="J96" s="26"/>
      <c r="K96" s="27"/>
      <c r="L96" s="28"/>
      <c r="M96" s="27"/>
      <c r="N96" s="26"/>
      <c r="O96" s="121">
        <f t="shared" si="2"/>
        <v>383346.72000000003</v>
      </c>
      <c r="P96" s="62"/>
      <c r="Q96" s="468"/>
    </row>
    <row r="97" spans="1:17" s="29" customFormat="1" ht="12.75">
      <c r="A97" s="23" t="s">
        <v>243</v>
      </c>
      <c r="B97" s="265" t="s">
        <v>236</v>
      </c>
      <c r="C97" s="107">
        <f>Jan20!O96</f>
        <v>0</v>
      </c>
      <c r="D97" s="10">
        <f>Jan20!P96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121">
        <f t="shared" si="2"/>
        <v>0</v>
      </c>
      <c r="P97" s="62"/>
      <c r="Q97" s="468"/>
    </row>
    <row r="98" spans="1:17" s="29" customFormat="1" ht="12.75">
      <c r="A98" s="23" t="s">
        <v>27</v>
      </c>
      <c r="B98" s="265" t="s">
        <v>159</v>
      </c>
      <c r="C98" s="107">
        <f>Jan20!O97</f>
        <v>859331.25</v>
      </c>
      <c r="D98" s="10">
        <f>Jan20!P97</f>
        <v>0</v>
      </c>
      <c r="E98" s="25">
        <v>58950</v>
      </c>
      <c r="F98" s="26"/>
      <c r="G98" s="27"/>
      <c r="H98" s="28"/>
      <c r="I98" s="25"/>
      <c r="J98" s="26"/>
      <c r="K98" s="27"/>
      <c r="L98" s="28"/>
      <c r="M98" s="27"/>
      <c r="N98" s="26"/>
      <c r="O98" s="121">
        <f t="shared" si="2"/>
        <v>918281.25</v>
      </c>
      <c r="P98" s="62"/>
      <c r="Q98" s="468"/>
    </row>
    <row r="99" spans="1:17" s="29" customFormat="1" ht="12.75">
      <c r="A99" s="23" t="s">
        <v>160</v>
      </c>
      <c r="B99" s="265" t="s">
        <v>161</v>
      </c>
      <c r="C99" s="107">
        <f>Jan20!O98</f>
        <v>0</v>
      </c>
      <c r="D99" s="10">
        <f>Jan20!P98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121">
        <f t="shared" si="2"/>
        <v>0</v>
      </c>
      <c r="P99" s="62"/>
      <c r="Q99" s="468"/>
    </row>
    <row r="100" spans="1:17" s="29" customFormat="1" ht="12.75">
      <c r="A100" s="23" t="s">
        <v>61</v>
      </c>
      <c r="B100" s="265" t="s">
        <v>162</v>
      </c>
      <c r="C100" s="107">
        <f>Jan20!O99</f>
        <v>625</v>
      </c>
      <c r="D100" s="10">
        <f>Jan20!P99</f>
        <v>0</v>
      </c>
      <c r="E100" s="25">
        <v>5175.25</v>
      </c>
      <c r="F100" s="26"/>
      <c r="G100" s="27"/>
      <c r="H100" s="28"/>
      <c r="I100" s="25"/>
      <c r="J100" s="26"/>
      <c r="K100" s="27"/>
      <c r="L100" s="28"/>
      <c r="M100" s="27"/>
      <c r="N100" s="26"/>
      <c r="O100" s="121">
        <f t="shared" si="2"/>
        <v>5800.25</v>
      </c>
      <c r="P100" s="62"/>
      <c r="Q100" s="468"/>
    </row>
    <row r="101" spans="1:17" s="29" customFormat="1" ht="12.75">
      <c r="A101" s="23" t="s">
        <v>56</v>
      </c>
      <c r="B101" s="265" t="s">
        <v>163</v>
      </c>
      <c r="C101" s="107">
        <f>Jan20!O100</f>
        <v>0</v>
      </c>
      <c r="D101" s="10">
        <f>Jan20!P100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121">
        <f t="shared" si="2"/>
        <v>0</v>
      </c>
      <c r="P101" s="62"/>
      <c r="Q101" s="468"/>
    </row>
    <row r="102" spans="1:17" s="29" customFormat="1" ht="12.75">
      <c r="A102" s="23" t="s">
        <v>217</v>
      </c>
      <c r="B102" s="265" t="s">
        <v>218</v>
      </c>
      <c r="C102" s="107">
        <f>Jan20!O101</f>
        <v>0</v>
      </c>
      <c r="D102" s="10">
        <f>Jan20!P101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121">
        <f t="shared" si="2"/>
        <v>0</v>
      </c>
      <c r="P102" s="62"/>
      <c r="Q102" s="468"/>
    </row>
    <row r="103" spans="1:17" s="29" customFormat="1" ht="12.75">
      <c r="A103" s="23" t="s">
        <v>164</v>
      </c>
      <c r="B103" s="265" t="s">
        <v>165</v>
      </c>
      <c r="C103" s="107">
        <f>Jan20!O102</f>
        <v>5000</v>
      </c>
      <c r="D103" s="10">
        <f>Jan20!P102</f>
        <v>0</v>
      </c>
      <c r="E103" s="25">
        <v>5025</v>
      </c>
      <c r="F103" s="26"/>
      <c r="G103" s="27"/>
      <c r="H103" s="28"/>
      <c r="I103" s="25"/>
      <c r="J103" s="26"/>
      <c r="K103" s="27"/>
      <c r="L103" s="28"/>
      <c r="M103" s="27"/>
      <c r="N103" s="26"/>
      <c r="O103" s="121">
        <f t="shared" si="2"/>
        <v>10025</v>
      </c>
      <c r="P103" s="62"/>
      <c r="Q103" s="468"/>
    </row>
    <row r="104" spans="1:17" s="29" customFormat="1" ht="12.75">
      <c r="A104" s="23" t="s">
        <v>570</v>
      </c>
      <c r="B104" s="265" t="s">
        <v>556</v>
      </c>
      <c r="C104" s="107">
        <f>Jan20!O103</f>
        <v>0</v>
      </c>
      <c r="D104" s="10">
        <f>Jan20!P103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121">
        <f t="shared" si="2"/>
        <v>0</v>
      </c>
      <c r="P104" s="62"/>
      <c r="Q104" s="468"/>
    </row>
    <row r="105" spans="1:17" s="29" customFormat="1" ht="12.75">
      <c r="A105" s="23" t="s">
        <v>535</v>
      </c>
      <c r="B105" s="265" t="s">
        <v>521</v>
      </c>
      <c r="C105" s="107">
        <f>Jan20!O104</f>
        <v>0</v>
      </c>
      <c r="D105" s="10">
        <f>Jan20!P104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121">
        <f t="shared" si="2"/>
        <v>0</v>
      </c>
      <c r="P105" s="62"/>
      <c r="Q105" s="468"/>
    </row>
    <row r="106" spans="1:17" s="29" customFormat="1" ht="12.75">
      <c r="A106" s="23" t="s">
        <v>536</v>
      </c>
      <c r="B106" s="265" t="s">
        <v>522</v>
      </c>
      <c r="C106" s="107">
        <f>Jan20!O105</f>
        <v>0</v>
      </c>
      <c r="D106" s="10">
        <f>Jan20!P105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121">
        <f t="shared" si="2"/>
        <v>0</v>
      </c>
      <c r="P106" s="62"/>
      <c r="Q106" s="468"/>
    </row>
    <row r="107" spans="1:17" s="29" customFormat="1" ht="12.75">
      <c r="A107" s="23" t="s">
        <v>571</v>
      </c>
      <c r="B107" s="265" t="s">
        <v>572</v>
      </c>
      <c r="C107" s="107">
        <f>Jan20!O106</f>
        <v>0</v>
      </c>
      <c r="D107" s="10">
        <f>Jan20!P106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121">
        <f t="shared" si="2"/>
        <v>0</v>
      </c>
      <c r="P107" s="62"/>
      <c r="Q107" s="468"/>
    </row>
    <row r="108" spans="1:17" s="29" customFormat="1" ht="12.75">
      <c r="A108" s="23" t="s">
        <v>573</v>
      </c>
      <c r="B108" s="265" t="s">
        <v>557</v>
      </c>
      <c r="C108" s="107">
        <f>Jan20!O107</f>
        <v>0</v>
      </c>
      <c r="D108" s="10">
        <f>Jan20!P107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121">
        <f t="shared" si="2"/>
        <v>0</v>
      </c>
      <c r="P108" s="62"/>
      <c r="Q108" s="468"/>
    </row>
    <row r="109" spans="1:17" s="29" customFormat="1" ht="12.75">
      <c r="A109" s="23" t="s">
        <v>241</v>
      </c>
      <c r="B109" s="265" t="s">
        <v>235</v>
      </c>
      <c r="C109" s="107">
        <f>Jan20!O108</f>
        <v>0</v>
      </c>
      <c r="D109" s="10">
        <f>Jan20!P108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121">
        <f t="shared" si="2"/>
        <v>0</v>
      </c>
      <c r="P109" s="62"/>
      <c r="Q109" s="468"/>
    </row>
    <row r="110" spans="1:17" s="29" customFormat="1" ht="12.75">
      <c r="A110" s="23" t="s">
        <v>166</v>
      </c>
      <c r="B110" s="265" t="s">
        <v>167</v>
      </c>
      <c r="C110" s="107">
        <f>Jan20!O109</f>
        <v>0</v>
      </c>
      <c r="D110" s="10">
        <f>Jan20!P109</f>
        <v>0</v>
      </c>
      <c r="E110" s="25"/>
      <c r="F110" s="26"/>
      <c r="G110" s="27"/>
      <c r="H110" s="28"/>
      <c r="I110" s="25"/>
      <c r="J110" s="26"/>
      <c r="K110" s="27"/>
      <c r="L110" s="28"/>
      <c r="M110" s="27"/>
      <c r="N110" s="26"/>
      <c r="O110" s="121">
        <f t="shared" si="2"/>
        <v>0</v>
      </c>
      <c r="P110" s="62"/>
      <c r="Q110" s="468"/>
    </row>
    <row r="111" spans="1:17" s="29" customFormat="1" ht="12.75">
      <c r="A111" s="23" t="s">
        <v>37</v>
      </c>
      <c r="B111" s="265" t="s">
        <v>168</v>
      </c>
      <c r="C111" s="107">
        <f>Jan20!O110</f>
        <v>1165.6</v>
      </c>
      <c r="D111" s="10">
        <f>Jan20!P110</f>
        <v>0</v>
      </c>
      <c r="E111" s="25">
        <v>1486.6</v>
      </c>
      <c r="F111" s="26"/>
      <c r="G111" s="27"/>
      <c r="H111" s="28"/>
      <c r="I111" s="25"/>
      <c r="J111" s="26"/>
      <c r="K111" s="27"/>
      <c r="L111" s="28"/>
      <c r="M111" s="27"/>
      <c r="N111" s="26"/>
      <c r="O111" s="121">
        <f t="shared" si="2"/>
        <v>2652.2</v>
      </c>
      <c r="P111" s="62"/>
      <c r="Q111" s="468"/>
    </row>
    <row r="112" spans="1:17" s="29" customFormat="1" ht="12.75">
      <c r="A112" s="23" t="s">
        <v>43</v>
      </c>
      <c r="B112" s="265" t="s">
        <v>169</v>
      </c>
      <c r="C112" s="107">
        <f>Jan20!O111</f>
        <v>15346.77</v>
      </c>
      <c r="D112" s="10">
        <f>Jan20!P111</f>
        <v>0</v>
      </c>
      <c r="E112" s="25">
        <v>17924.31</v>
      </c>
      <c r="F112" s="26"/>
      <c r="G112" s="27"/>
      <c r="H112" s="28"/>
      <c r="I112" s="25"/>
      <c r="J112" s="26"/>
      <c r="K112" s="27"/>
      <c r="L112" s="28"/>
      <c r="M112" s="27"/>
      <c r="N112" s="26"/>
      <c r="O112" s="121">
        <f t="shared" si="2"/>
        <v>33271.08</v>
      </c>
      <c r="P112" s="62"/>
      <c r="Q112" s="468"/>
    </row>
    <row r="113" spans="1:17" s="29" customFormat="1" ht="12.75">
      <c r="A113" s="23" t="s">
        <v>694</v>
      </c>
      <c r="B113" s="265" t="s">
        <v>695</v>
      </c>
      <c r="C113" s="107">
        <f>Jan20!O112</f>
        <v>0</v>
      </c>
      <c r="D113" s="10">
        <f>Jan20!P112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121">
        <f t="shared" si="2"/>
        <v>0</v>
      </c>
      <c r="P113" s="62"/>
      <c r="Q113" s="468"/>
    </row>
    <row r="114" spans="1:17" s="29" customFormat="1" ht="12.75">
      <c r="A114" s="23" t="s">
        <v>29</v>
      </c>
      <c r="B114" s="265" t="s">
        <v>170</v>
      </c>
      <c r="C114" s="107">
        <f>Jan20!O113</f>
        <v>10030</v>
      </c>
      <c r="D114" s="10">
        <f>Jan20!P113</f>
        <v>0</v>
      </c>
      <c r="E114" s="25">
        <v>5715</v>
      </c>
      <c r="F114" s="26"/>
      <c r="G114" s="27"/>
      <c r="H114" s="28"/>
      <c r="I114" s="25"/>
      <c r="J114" s="26"/>
      <c r="K114" s="27"/>
      <c r="L114" s="28"/>
      <c r="M114" s="27"/>
      <c r="N114" s="26"/>
      <c r="O114" s="121">
        <f t="shared" si="2"/>
        <v>15745</v>
      </c>
      <c r="P114" s="62"/>
      <c r="Q114" s="468"/>
    </row>
    <row r="115" spans="1:17" s="29" customFormat="1" ht="12.75">
      <c r="A115" s="23" t="s">
        <v>194</v>
      </c>
      <c r="B115" s="265" t="s">
        <v>196</v>
      </c>
      <c r="C115" s="107">
        <f>Jan20!O114</f>
        <v>8000</v>
      </c>
      <c r="D115" s="10">
        <f>Jan20!P114</f>
        <v>0</v>
      </c>
      <c r="E115" s="25">
        <v>10201.93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121">
        <f t="shared" si="2"/>
        <v>18201.93</v>
      </c>
      <c r="P115" s="62"/>
      <c r="Q115" s="468"/>
    </row>
    <row r="116" spans="1:17" s="29" customFormat="1" ht="12.75">
      <c r="A116" s="23" t="s">
        <v>195</v>
      </c>
      <c r="B116" s="265" t="s">
        <v>197</v>
      </c>
      <c r="C116" s="107">
        <f>Jan20!O115</f>
        <v>4203.78</v>
      </c>
      <c r="D116" s="10">
        <f>Jan20!P115</f>
        <v>0</v>
      </c>
      <c r="E116" s="25">
        <v>650</v>
      </c>
      <c r="F116" s="26"/>
      <c r="G116" s="27"/>
      <c r="H116" s="28"/>
      <c r="I116" s="25"/>
      <c r="J116" s="26"/>
      <c r="K116" s="27"/>
      <c r="L116" s="28"/>
      <c r="M116" s="27"/>
      <c r="N116" s="26"/>
      <c r="O116" s="121">
        <f t="shared" si="2"/>
        <v>4853.78</v>
      </c>
      <c r="P116" s="62"/>
      <c r="Q116" s="468"/>
    </row>
    <row r="117" spans="1:17" s="29" customFormat="1" ht="12.75">
      <c r="A117" s="23" t="s">
        <v>171</v>
      </c>
      <c r="B117" s="265" t="s">
        <v>172</v>
      </c>
      <c r="C117" s="107">
        <f>Jan20!O116</f>
        <v>2057</v>
      </c>
      <c r="D117" s="10">
        <f>Jan20!P116</f>
        <v>0</v>
      </c>
      <c r="E117" s="25">
        <v>15075.67</v>
      </c>
      <c r="F117" s="26"/>
      <c r="G117" s="27"/>
      <c r="H117" s="28"/>
      <c r="I117" s="25"/>
      <c r="J117" s="26"/>
      <c r="K117" s="27"/>
      <c r="L117" s="28"/>
      <c r="M117" s="27"/>
      <c r="N117" s="26"/>
      <c r="O117" s="121">
        <f t="shared" si="2"/>
        <v>17132.67</v>
      </c>
      <c r="P117" s="62"/>
      <c r="Q117" s="468"/>
    </row>
    <row r="118" spans="1:17" s="29" customFormat="1" ht="12.75">
      <c r="A118" s="23" t="s">
        <v>51</v>
      </c>
      <c r="B118" s="265" t="s">
        <v>173</v>
      </c>
      <c r="C118" s="107">
        <f>Jan20!O117</f>
        <v>0</v>
      </c>
      <c r="D118" s="10">
        <f>Jan20!P117</f>
        <v>0</v>
      </c>
      <c r="E118" s="25">
        <v>300</v>
      </c>
      <c r="F118" s="26"/>
      <c r="G118" s="27"/>
      <c r="H118" s="28"/>
      <c r="I118" s="25"/>
      <c r="J118" s="26"/>
      <c r="K118" s="27"/>
      <c r="L118" s="28"/>
      <c r="M118" s="27"/>
      <c r="N118" s="26"/>
      <c r="O118" s="121">
        <f t="shared" si="2"/>
        <v>300</v>
      </c>
      <c r="P118" s="62"/>
      <c r="Q118" s="468"/>
    </row>
    <row r="119" spans="1:17" s="29" customFormat="1" ht="12.75">
      <c r="A119" s="23" t="s">
        <v>539</v>
      </c>
      <c r="B119" s="265" t="s">
        <v>538</v>
      </c>
      <c r="C119" s="107">
        <f>Jan20!O118</f>
        <v>0</v>
      </c>
      <c r="D119" s="10">
        <f>Jan20!P118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121">
        <f t="shared" si="2"/>
        <v>0</v>
      </c>
      <c r="P119" s="62"/>
      <c r="Q119" s="468"/>
    </row>
    <row r="120" spans="1:17" s="29" customFormat="1" ht="12.75" customHeight="1">
      <c r="A120" s="23" t="s">
        <v>193</v>
      </c>
      <c r="B120" s="265" t="s">
        <v>190</v>
      </c>
      <c r="C120" s="107">
        <f>Jan20!O119</f>
        <v>9166.67</v>
      </c>
      <c r="D120" s="10">
        <f>Jan20!P119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121">
        <f t="shared" si="2"/>
        <v>18333.34</v>
      </c>
      <c r="P120" s="62"/>
      <c r="Q120" s="468"/>
    </row>
    <row r="121" spans="1:17" s="29" customFormat="1" ht="12.75" customHeight="1">
      <c r="A121" s="23" t="s">
        <v>71</v>
      </c>
      <c r="B121" s="265" t="s">
        <v>178</v>
      </c>
      <c r="C121" s="107">
        <f>Jan20!O120</f>
        <v>0</v>
      </c>
      <c r="D121" s="10">
        <f>Jan20!P120</f>
        <v>0</v>
      </c>
      <c r="E121" s="25">
        <v>400</v>
      </c>
      <c r="F121" s="26"/>
      <c r="G121" s="27"/>
      <c r="H121" s="28"/>
      <c r="I121" s="25"/>
      <c r="J121" s="26"/>
      <c r="K121" s="27"/>
      <c r="L121" s="28"/>
      <c r="M121" s="27"/>
      <c r="N121" s="26"/>
      <c r="O121" s="121">
        <f t="shared" si="2"/>
        <v>400</v>
      </c>
      <c r="P121" s="62"/>
      <c r="Q121" s="468"/>
    </row>
    <row r="122" spans="1:17" s="29" customFormat="1" ht="12.75" customHeight="1">
      <c r="A122" s="23" t="s">
        <v>30</v>
      </c>
      <c r="B122" s="265" t="s">
        <v>179</v>
      </c>
      <c r="C122" s="107">
        <f>Jan20!O121</f>
        <v>0</v>
      </c>
      <c r="D122" s="10">
        <f>Jan20!P121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121">
        <f t="shared" si="2"/>
        <v>0</v>
      </c>
      <c r="P122" s="62"/>
      <c r="Q122" s="468"/>
    </row>
    <row r="123" spans="1:17" s="29" customFormat="1" ht="12.75" customHeight="1">
      <c r="A123" s="23" t="s">
        <v>198</v>
      </c>
      <c r="B123" s="265" t="s">
        <v>199</v>
      </c>
      <c r="C123" s="107">
        <f>Jan20!O122</f>
        <v>0</v>
      </c>
      <c r="D123" s="10">
        <f>Jan20!P122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121">
        <f t="shared" si="2"/>
        <v>0</v>
      </c>
      <c r="P123" s="62"/>
      <c r="Q123" s="468"/>
    </row>
    <row r="124" spans="1:17" s="29" customFormat="1" ht="12.75" customHeight="1">
      <c r="A124" s="23" t="s">
        <v>72</v>
      </c>
      <c r="B124" s="265" t="s">
        <v>182</v>
      </c>
      <c r="C124" s="107">
        <f>Jan20!O123</f>
        <v>0</v>
      </c>
      <c r="D124" s="10">
        <f>Jan20!P123</f>
        <v>0</v>
      </c>
      <c r="E124" s="25">
        <v>3200</v>
      </c>
      <c r="F124" s="26"/>
      <c r="G124" s="27"/>
      <c r="H124" s="28"/>
      <c r="I124" s="25"/>
      <c r="J124" s="26"/>
      <c r="K124" s="27"/>
      <c r="L124" s="28"/>
      <c r="M124" s="27"/>
      <c r="N124" s="26"/>
      <c r="O124" s="121">
        <f t="shared" si="2"/>
        <v>3200</v>
      </c>
      <c r="P124" s="62"/>
      <c r="Q124" s="468"/>
    </row>
    <row r="125" spans="1:17" s="29" customFormat="1" ht="12.75" customHeight="1">
      <c r="A125" s="23" t="s">
        <v>65</v>
      </c>
      <c r="B125" s="265" t="s">
        <v>183</v>
      </c>
      <c r="C125" s="107">
        <f>Jan20!O124</f>
        <v>0</v>
      </c>
      <c r="D125" s="10">
        <f>Jan20!P124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121">
        <f t="shared" si="2"/>
        <v>0</v>
      </c>
      <c r="P125" s="62"/>
      <c r="Q125" s="468"/>
    </row>
    <row r="126" spans="1:17" s="29" customFormat="1" ht="12.75" customHeight="1">
      <c r="A126" s="23" t="s">
        <v>180</v>
      </c>
      <c r="B126" s="265" t="s">
        <v>181</v>
      </c>
      <c r="C126" s="107">
        <f>Jan20!O125</f>
        <v>0</v>
      </c>
      <c r="D126" s="10">
        <f>Jan20!P125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121">
        <f t="shared" si="2"/>
        <v>0</v>
      </c>
      <c r="P126" s="62"/>
      <c r="Q126" s="468"/>
    </row>
    <row r="127" spans="1:17" s="29" customFormat="1" ht="12.75" customHeight="1">
      <c r="A127" s="23" t="s">
        <v>184</v>
      </c>
      <c r="B127" s="265" t="s">
        <v>185</v>
      </c>
      <c r="C127" s="107">
        <f>Jan20!O126</f>
        <v>0</v>
      </c>
      <c r="D127" s="10">
        <f>Jan20!P126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6"/>
      <c r="O127" s="121">
        <f t="shared" si="2"/>
        <v>0</v>
      </c>
      <c r="P127" s="62"/>
      <c r="Q127" s="468"/>
    </row>
    <row r="128" spans="1:17" s="29" customFormat="1" ht="12.75" customHeight="1">
      <c r="A128" s="23" t="s">
        <v>186</v>
      </c>
      <c r="B128" s="265" t="s">
        <v>204</v>
      </c>
      <c r="C128" s="107">
        <f>Jan20!O127</f>
        <v>0</v>
      </c>
      <c r="D128" s="10">
        <f>Jan20!P127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121">
        <f t="shared" si="2"/>
        <v>0</v>
      </c>
      <c r="P128" s="62"/>
      <c r="Q128" s="468"/>
    </row>
    <row r="129" spans="1:17" s="29" customFormat="1" ht="12.75">
      <c r="A129" s="23" t="s">
        <v>219</v>
      </c>
      <c r="B129" s="265" t="s">
        <v>205</v>
      </c>
      <c r="C129" s="107">
        <f>Jan20!O128</f>
        <v>4430</v>
      </c>
      <c r="D129" s="10">
        <f>Jan20!P128</f>
        <v>0</v>
      </c>
      <c r="E129" s="25"/>
      <c r="F129" s="26"/>
      <c r="G129" s="27"/>
      <c r="H129" s="28"/>
      <c r="I129" s="25"/>
      <c r="J129" s="26"/>
      <c r="K129" s="27"/>
      <c r="L129" s="28"/>
      <c r="M129" s="27"/>
      <c r="N129" s="26"/>
      <c r="O129" s="121">
        <f t="shared" si="2"/>
        <v>4430</v>
      </c>
      <c r="P129" s="62"/>
      <c r="Q129" s="468"/>
    </row>
    <row r="130" spans="1:17" s="29" customFormat="1" ht="12.75">
      <c r="A130" s="23" t="s">
        <v>220</v>
      </c>
      <c r="B130" s="265" t="s">
        <v>206</v>
      </c>
      <c r="C130" s="107">
        <f>Jan20!O129</f>
        <v>55510</v>
      </c>
      <c r="D130" s="10">
        <f>Jan20!P129</f>
        <v>0</v>
      </c>
      <c r="E130" s="25"/>
      <c r="F130" s="26"/>
      <c r="G130" s="27"/>
      <c r="H130" s="28"/>
      <c r="I130" s="25"/>
      <c r="J130" s="26"/>
      <c r="K130" s="27"/>
      <c r="L130" s="28"/>
      <c r="M130" s="27"/>
      <c r="N130" s="26"/>
      <c r="O130" s="121">
        <f t="shared" si="2"/>
        <v>55510</v>
      </c>
      <c r="P130" s="62"/>
      <c r="Q130" s="468"/>
    </row>
    <row r="131" spans="1:17" s="29" customFormat="1" ht="12.75">
      <c r="A131" s="23" t="s">
        <v>584</v>
      </c>
      <c r="B131" s="265" t="s">
        <v>585</v>
      </c>
      <c r="C131" s="107">
        <f>Jan20!O130</f>
        <v>0</v>
      </c>
      <c r="D131" s="10">
        <f>Jan20!P130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121">
        <f t="shared" si="2"/>
        <v>0</v>
      </c>
      <c r="P131" s="62"/>
      <c r="Q131" s="468"/>
    </row>
    <row r="132" spans="1:17" s="29" customFormat="1" ht="12.75">
      <c r="A132" s="23" t="s">
        <v>188</v>
      </c>
      <c r="B132" s="265" t="s">
        <v>189</v>
      </c>
      <c r="C132" s="107">
        <f>Jan20!O131</f>
        <v>0</v>
      </c>
      <c r="D132" s="10">
        <f>Jan20!P131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121">
        <f t="shared" si="2"/>
        <v>0</v>
      </c>
      <c r="P132" s="62"/>
      <c r="Q132" s="468"/>
    </row>
    <row r="133" spans="1:17" s="29" customFormat="1" ht="12.75">
      <c r="A133" s="23" t="s">
        <v>229</v>
      </c>
      <c r="B133" s="265" t="s">
        <v>227</v>
      </c>
      <c r="C133" s="107">
        <f>Jan20!O132</f>
        <v>18640</v>
      </c>
      <c r="D133" s="10">
        <f>Jan20!P132</f>
        <v>0</v>
      </c>
      <c r="E133" s="25"/>
      <c r="F133" s="26"/>
      <c r="G133" s="27"/>
      <c r="H133" s="28"/>
      <c r="I133" s="25"/>
      <c r="J133" s="26"/>
      <c r="K133" s="27"/>
      <c r="L133" s="28"/>
      <c r="M133" s="27"/>
      <c r="N133" s="26"/>
      <c r="O133" s="121">
        <f t="shared" si="2"/>
        <v>18640</v>
      </c>
      <c r="P133" s="62"/>
      <c r="Q133" s="468"/>
    </row>
    <row r="134" spans="1:17" s="29" customFormat="1" ht="12.75">
      <c r="A134" s="23" t="s">
        <v>64</v>
      </c>
      <c r="B134" s="265" t="s">
        <v>187</v>
      </c>
      <c r="C134" s="107">
        <f>Jan20!O133</f>
        <v>0</v>
      </c>
      <c r="D134" s="10">
        <f>Jan20!P133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121">
        <f t="shared" si="2"/>
        <v>0</v>
      </c>
      <c r="P134" s="62"/>
      <c r="Q134" s="468"/>
    </row>
    <row r="135" spans="1:17" s="29" customFormat="1" ht="12.75">
      <c r="A135" s="23" t="s">
        <v>587</v>
      </c>
      <c r="B135" s="265" t="s">
        <v>586</v>
      </c>
      <c r="C135" s="107">
        <f>Jan20!O134</f>
        <v>0</v>
      </c>
      <c r="D135" s="10">
        <f>Jan20!P134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121">
        <f t="shared" si="2"/>
        <v>0</v>
      </c>
      <c r="P135" s="62"/>
      <c r="Q135" s="468"/>
    </row>
    <row r="136" spans="1:17" s="29" customFormat="1" ht="12.75">
      <c r="A136" s="23" t="s">
        <v>233</v>
      </c>
      <c r="B136" s="265" t="s">
        <v>232</v>
      </c>
      <c r="C136" s="107">
        <f>Jan20!O135</f>
        <v>2706015.01</v>
      </c>
      <c r="D136" s="10">
        <f>Jan20!P135</f>
        <v>0</v>
      </c>
      <c r="E136" s="25">
        <v>2650799.08</v>
      </c>
      <c r="F136" s="26"/>
      <c r="G136" s="27"/>
      <c r="H136" s="28"/>
      <c r="I136" s="25"/>
      <c r="J136" s="26"/>
      <c r="K136" s="27"/>
      <c r="L136" s="28"/>
      <c r="M136" s="27"/>
      <c r="N136" s="26"/>
      <c r="O136" s="121">
        <f t="shared" si="2"/>
        <v>5356814.09</v>
      </c>
      <c r="P136" s="62"/>
      <c r="Q136" s="468"/>
    </row>
    <row r="137" spans="1:16" s="29" customFormat="1" ht="12.75">
      <c r="A137" s="23" t="s">
        <v>69</v>
      </c>
      <c r="B137" s="265" t="s">
        <v>191</v>
      </c>
      <c r="C137" s="107">
        <f>Jan20!O136</f>
        <v>0</v>
      </c>
      <c r="D137" s="10">
        <f>Jan20!P136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121">
        <f t="shared" si="2"/>
        <v>0</v>
      </c>
      <c r="P137" s="62"/>
    </row>
    <row r="138" spans="1:16" s="29" customFormat="1" ht="12.75">
      <c r="A138" s="23" t="s">
        <v>211</v>
      </c>
      <c r="B138" s="265" t="s">
        <v>212</v>
      </c>
      <c r="C138" s="107">
        <f>Jan20!O137</f>
        <v>0</v>
      </c>
      <c r="D138" s="10">
        <f>Jan20!P137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121">
        <f t="shared" si="2"/>
        <v>0</v>
      </c>
      <c r="P138" s="62"/>
    </row>
    <row r="139" spans="1:16" s="29" customFormat="1" ht="12.75">
      <c r="A139" s="23" t="s">
        <v>540</v>
      </c>
      <c r="B139" s="265" t="s">
        <v>523</v>
      </c>
      <c r="C139" s="107">
        <f>Jan20!O138</f>
        <v>0</v>
      </c>
      <c r="D139" s="10">
        <f>Jan20!P138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121">
        <f t="shared" si="2"/>
        <v>0</v>
      </c>
      <c r="P139" s="62"/>
    </row>
    <row r="140" spans="1:16" s="29" customFormat="1" ht="12.75">
      <c r="A140" s="23" t="s">
        <v>73</v>
      </c>
      <c r="B140" s="265" t="s">
        <v>192</v>
      </c>
      <c r="C140" s="107">
        <f>Jan20!O139</f>
        <v>17892.72</v>
      </c>
      <c r="D140" s="10">
        <f>Jan20!P139</f>
        <v>0</v>
      </c>
      <c r="E140" s="25">
        <v>49850.32</v>
      </c>
      <c r="F140" s="26"/>
      <c r="G140" s="27"/>
      <c r="H140" s="28"/>
      <c r="I140" s="25"/>
      <c r="J140" s="26"/>
      <c r="K140" s="27"/>
      <c r="L140" s="28"/>
      <c r="M140" s="27"/>
      <c r="N140" s="26"/>
      <c r="O140" s="121">
        <f t="shared" si="2"/>
        <v>67743.04000000001</v>
      </c>
      <c r="P140" s="62"/>
    </row>
    <row r="141" spans="1:16" s="29" customFormat="1" ht="12.75">
      <c r="A141" s="23" t="s">
        <v>38</v>
      </c>
      <c r="B141" s="265" t="s">
        <v>175</v>
      </c>
      <c r="C141" s="107">
        <f>Jan20!O140</f>
        <v>0</v>
      </c>
      <c r="D141" s="10">
        <f>Jan20!P140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121">
        <f t="shared" si="2"/>
        <v>0</v>
      </c>
      <c r="P141" s="62"/>
    </row>
    <row r="142" spans="1:16" s="29" customFormat="1" ht="12.75">
      <c r="A142" s="23" t="s">
        <v>62</v>
      </c>
      <c r="B142" s="265" t="s">
        <v>176</v>
      </c>
      <c r="C142" s="107">
        <f>Jan20!O141</f>
        <v>0</v>
      </c>
      <c r="D142" s="10">
        <f>Jan20!P141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121">
        <f t="shared" si="2"/>
        <v>0</v>
      </c>
      <c r="P142" s="62"/>
    </row>
    <row r="143" spans="1:16" s="29" customFormat="1" ht="12.75">
      <c r="A143" s="23" t="s">
        <v>63</v>
      </c>
      <c r="B143" s="265" t="s">
        <v>177</v>
      </c>
      <c r="C143" s="107">
        <f>Jan20!O142</f>
        <v>120</v>
      </c>
      <c r="D143" s="10">
        <f>Jan20!P142</f>
        <v>0</v>
      </c>
      <c r="E143" s="25">
        <v>640</v>
      </c>
      <c r="F143" s="26"/>
      <c r="G143" s="27"/>
      <c r="H143" s="28"/>
      <c r="I143" s="25"/>
      <c r="J143" s="26"/>
      <c r="K143" s="27"/>
      <c r="L143" s="28"/>
      <c r="M143" s="27"/>
      <c r="N143" s="26"/>
      <c r="O143" s="121">
        <f t="shared" si="2"/>
        <v>760</v>
      </c>
      <c r="P143" s="62"/>
    </row>
    <row r="144" spans="1:16" s="29" customFormat="1" ht="12.75">
      <c r="A144" s="23" t="s">
        <v>560</v>
      </c>
      <c r="B144" s="265" t="s">
        <v>561</v>
      </c>
      <c r="C144" s="107">
        <f>Jan20!O143</f>
        <v>0</v>
      </c>
      <c r="D144" s="10">
        <f>Jan20!P143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6"/>
      <c r="O144" s="121">
        <f t="shared" si="2"/>
        <v>0</v>
      </c>
      <c r="P144" s="62"/>
    </row>
    <row r="145" spans="1:16" s="29" customFormat="1" ht="12.75">
      <c r="A145" s="23" t="s">
        <v>53</v>
      </c>
      <c r="B145" s="265" t="s">
        <v>528</v>
      </c>
      <c r="C145" s="107">
        <f>Jan20!O144</f>
        <v>0</v>
      </c>
      <c r="D145" s="10">
        <f>Jan20!P144</f>
        <v>0</v>
      </c>
      <c r="E145" s="25"/>
      <c r="F145" s="26"/>
      <c r="G145" s="27"/>
      <c r="H145" s="28"/>
      <c r="I145" s="25"/>
      <c r="J145" s="26"/>
      <c r="K145" s="27"/>
      <c r="L145" s="28"/>
      <c r="M145" s="27"/>
      <c r="N145" s="26"/>
      <c r="O145" s="121">
        <f t="shared" si="2"/>
        <v>0</v>
      </c>
      <c r="P145" s="62"/>
    </row>
    <row r="146" spans="1:16" s="29" customFormat="1" ht="12.75">
      <c r="A146" s="23" t="s">
        <v>703</v>
      </c>
      <c r="B146" s="265" t="s">
        <v>702</v>
      </c>
      <c r="C146" s="107"/>
      <c r="D146" s="10"/>
      <c r="E146" s="25"/>
      <c r="F146" s="26"/>
      <c r="G146" s="27"/>
      <c r="H146" s="28"/>
      <c r="I146" s="25"/>
      <c r="J146" s="26"/>
      <c r="K146" s="27"/>
      <c r="L146" s="28"/>
      <c r="M146" s="27"/>
      <c r="N146" s="26"/>
      <c r="O146" s="121"/>
      <c r="P146" s="62"/>
    </row>
    <row r="147" spans="1:16" s="29" customFormat="1" ht="12.75">
      <c r="A147" s="23" t="s">
        <v>68</v>
      </c>
      <c r="B147" s="265" t="s">
        <v>174</v>
      </c>
      <c r="C147" s="107">
        <f>Jan20!O145</f>
        <v>0</v>
      </c>
      <c r="D147" s="10">
        <f>Jan20!P145</f>
        <v>0</v>
      </c>
      <c r="E147" s="25"/>
      <c r="F147" s="26"/>
      <c r="G147" s="27"/>
      <c r="H147" s="28"/>
      <c r="I147" s="25"/>
      <c r="J147" s="26"/>
      <c r="K147" s="27"/>
      <c r="L147" s="28"/>
      <c r="M147" s="27"/>
      <c r="N147" s="26"/>
      <c r="O147" s="121">
        <f t="shared" si="2"/>
        <v>0</v>
      </c>
      <c r="P147" s="62"/>
    </row>
    <row r="148" spans="1:16" s="29" customFormat="1" ht="12.75">
      <c r="A148" s="23" t="s">
        <v>244</v>
      </c>
      <c r="B148" s="265" t="s">
        <v>237</v>
      </c>
      <c r="C148" s="107">
        <f>Jan20!O146</f>
        <v>0</v>
      </c>
      <c r="D148" s="10">
        <f>Jan20!P146</f>
        <v>0</v>
      </c>
      <c r="E148" s="25"/>
      <c r="F148" s="26"/>
      <c r="G148" s="27"/>
      <c r="H148" s="28"/>
      <c r="I148" s="25"/>
      <c r="J148" s="26"/>
      <c r="K148" s="27"/>
      <c r="L148" s="28"/>
      <c r="M148" s="27"/>
      <c r="N148" s="26"/>
      <c r="O148" s="121">
        <f t="shared" si="2"/>
        <v>0</v>
      </c>
      <c r="P148" s="62"/>
    </row>
    <row r="149" spans="1:16" ht="12.75">
      <c r="A149" s="23" t="s">
        <v>23</v>
      </c>
      <c r="B149" s="265" t="s">
        <v>524</v>
      </c>
      <c r="C149" s="107">
        <f>Jan20!O147</f>
        <v>106799.88</v>
      </c>
      <c r="D149" s="10">
        <f>Jan20!P147</f>
        <v>0</v>
      </c>
      <c r="E149" s="25">
        <v>85069.25</v>
      </c>
      <c r="F149" s="26"/>
      <c r="G149" s="27"/>
      <c r="H149" s="28"/>
      <c r="I149" s="25"/>
      <c r="J149" s="26"/>
      <c r="K149" s="27"/>
      <c r="L149" s="28"/>
      <c r="M149" s="27"/>
      <c r="N149" s="26"/>
      <c r="O149" s="121">
        <f t="shared" si="2"/>
        <v>191869.13</v>
      </c>
      <c r="P149" s="62"/>
    </row>
    <row r="150" spans="1:16" s="29" customFormat="1" ht="13.5" thickBot="1">
      <c r="A150" s="23" t="s">
        <v>245</v>
      </c>
      <c r="B150" s="265" t="s">
        <v>525</v>
      </c>
      <c r="C150" s="107">
        <f>Jan20!O148</f>
        <v>0</v>
      </c>
      <c r="D150" s="10">
        <f>Jan20!P148</f>
        <v>0</v>
      </c>
      <c r="E150" s="25"/>
      <c r="F150" s="26"/>
      <c r="G150" s="27"/>
      <c r="H150" s="28"/>
      <c r="I150" s="25"/>
      <c r="J150" s="26"/>
      <c r="K150" s="27"/>
      <c r="L150" s="28"/>
      <c r="M150" s="27"/>
      <c r="N150" s="26"/>
      <c r="O150" s="121">
        <f t="shared" si="2"/>
        <v>0</v>
      </c>
      <c r="P150" s="62"/>
    </row>
    <row r="151" spans="1:16" s="29" customFormat="1" ht="12.75" hidden="1">
      <c r="A151" s="8" t="s">
        <v>214</v>
      </c>
      <c r="B151" s="265" t="s">
        <v>574</v>
      </c>
      <c r="C151" s="107">
        <f>Jan20!O149</f>
        <v>0</v>
      </c>
      <c r="D151" s="10">
        <f>Jan20!P149</f>
        <v>0</v>
      </c>
      <c r="E151" s="25"/>
      <c r="F151" s="26"/>
      <c r="G151" s="27"/>
      <c r="H151" s="28"/>
      <c r="I151" s="25"/>
      <c r="J151" s="26"/>
      <c r="K151" s="27"/>
      <c r="L151" s="28"/>
      <c r="M151" s="27"/>
      <c r="N151" s="26"/>
      <c r="O151" s="121">
        <f t="shared" si="2"/>
        <v>0</v>
      </c>
      <c r="P151" s="62"/>
    </row>
    <row r="152" spans="1:16" s="29" customFormat="1" ht="12.75" hidden="1">
      <c r="A152" s="8" t="s">
        <v>77</v>
      </c>
      <c r="B152" s="265" t="s">
        <v>575</v>
      </c>
      <c r="C152" s="107">
        <f>Jan20!O150</f>
        <v>0</v>
      </c>
      <c r="D152" s="10">
        <f>Jan20!P150</f>
        <v>0</v>
      </c>
      <c r="E152" s="25"/>
      <c r="F152" s="26"/>
      <c r="G152" s="27"/>
      <c r="H152" s="28"/>
      <c r="I152" s="25"/>
      <c r="J152" s="26"/>
      <c r="K152" s="27"/>
      <c r="L152" s="28"/>
      <c r="M152" s="27"/>
      <c r="N152" s="26"/>
      <c r="O152" s="121">
        <f t="shared" si="2"/>
        <v>0</v>
      </c>
      <c r="P152" s="62"/>
    </row>
    <row r="153" spans="1:16" s="29" customFormat="1" ht="12.75" hidden="1">
      <c r="A153" s="8" t="s">
        <v>78</v>
      </c>
      <c r="B153" s="265" t="s">
        <v>576</v>
      </c>
      <c r="C153" s="107">
        <f>Jan20!O151</f>
        <v>0</v>
      </c>
      <c r="D153" s="10">
        <f>Jan20!P151</f>
        <v>0</v>
      </c>
      <c r="E153" s="25"/>
      <c r="F153" s="26"/>
      <c r="G153" s="27"/>
      <c r="H153" s="28"/>
      <c r="I153" s="25"/>
      <c r="J153" s="26"/>
      <c r="K153" s="27"/>
      <c r="L153" s="28"/>
      <c r="M153" s="27"/>
      <c r="N153" s="26"/>
      <c r="O153" s="121">
        <f t="shared" si="2"/>
        <v>0</v>
      </c>
      <c r="P153" s="62"/>
    </row>
    <row r="154" spans="1:16" s="29" customFormat="1" ht="12.75" hidden="1">
      <c r="A154" s="8" t="s">
        <v>79</v>
      </c>
      <c r="B154" s="265" t="s">
        <v>577</v>
      </c>
      <c r="C154" s="107">
        <f>Jan20!O152</f>
        <v>0</v>
      </c>
      <c r="D154" s="10">
        <f>Jan20!P152</f>
        <v>0</v>
      </c>
      <c r="E154" s="25"/>
      <c r="F154" s="26"/>
      <c r="G154" s="27"/>
      <c r="H154" s="28"/>
      <c r="I154" s="25"/>
      <c r="J154" s="26"/>
      <c r="K154" s="27"/>
      <c r="L154" s="28"/>
      <c r="M154" s="27"/>
      <c r="N154" s="26"/>
      <c r="O154" s="121">
        <f t="shared" si="2"/>
        <v>0</v>
      </c>
      <c r="P154" s="62"/>
    </row>
    <row r="155" spans="1:16" s="29" customFormat="1" ht="12.75" hidden="1">
      <c r="A155" s="8" t="s">
        <v>578</v>
      </c>
      <c r="B155" s="265" t="s">
        <v>579</v>
      </c>
      <c r="C155" s="107">
        <f>Jan20!O153</f>
        <v>0</v>
      </c>
      <c r="D155" s="10">
        <f>Jan20!P153</f>
        <v>0</v>
      </c>
      <c r="E155" s="25"/>
      <c r="F155" s="26"/>
      <c r="G155" s="27"/>
      <c r="H155" s="28"/>
      <c r="I155" s="25"/>
      <c r="J155" s="26"/>
      <c r="K155" s="27"/>
      <c r="L155" s="28"/>
      <c r="M155" s="27"/>
      <c r="N155" s="26"/>
      <c r="O155" s="121">
        <f t="shared" si="2"/>
        <v>0</v>
      </c>
      <c r="P155" s="62"/>
    </row>
    <row r="156" spans="1:16" s="29" customFormat="1" ht="12.75" customHeight="1" hidden="1">
      <c r="A156" s="8" t="s">
        <v>580</v>
      </c>
      <c r="B156" s="265" t="s">
        <v>581</v>
      </c>
      <c r="C156" s="107">
        <f>Jan20!O154</f>
        <v>0</v>
      </c>
      <c r="D156" s="10">
        <f>Jan20!P154</f>
        <v>0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121">
        <f t="shared" si="2"/>
        <v>0</v>
      </c>
      <c r="P156" s="62"/>
    </row>
    <row r="157" spans="1:16" s="29" customFormat="1" ht="13.5" hidden="1" thickBot="1">
      <c r="A157" s="8" t="s">
        <v>82</v>
      </c>
      <c r="B157" s="265" t="s">
        <v>582</v>
      </c>
      <c r="C157" s="107">
        <f>Jan20!O155</f>
        <v>0</v>
      </c>
      <c r="D157" s="10">
        <f>Jan20!P155</f>
        <v>0</v>
      </c>
      <c r="E157" s="63"/>
      <c r="F157" s="25"/>
      <c r="G157" s="61"/>
      <c r="H157" s="62"/>
      <c r="I157" s="63"/>
      <c r="J157" s="25"/>
      <c r="K157" s="61"/>
      <c r="L157" s="62"/>
      <c r="M157" s="61"/>
      <c r="N157" s="25"/>
      <c r="O157" s="121">
        <f>C157+E157+I157+M157-D157-F157-J157-N157+G157-H157+K157-L157</f>
        <v>0</v>
      </c>
      <c r="P157" s="62"/>
    </row>
    <row r="158" spans="1:16" s="29" customFormat="1" ht="15" customHeight="1" thickBot="1">
      <c r="A158" s="256"/>
      <c r="B158" s="268"/>
      <c r="C158" s="258">
        <f>SUM(C14:C157)</f>
        <v>109321591.33</v>
      </c>
      <c r="D158" s="258">
        <f>SUM(D14:D157)</f>
        <v>109321591.33</v>
      </c>
      <c r="E158" s="125">
        <f>SUM(E14:E156)</f>
        <v>5138107.25</v>
      </c>
      <c r="F158" s="126">
        <f aca="true" t="shared" si="3" ref="F158:L158">SUM(F14:F156)</f>
        <v>5138107.25</v>
      </c>
      <c r="G158" s="125">
        <f>SUM(G14:G156)</f>
        <v>0</v>
      </c>
      <c r="H158" s="126">
        <f t="shared" si="3"/>
        <v>0</v>
      </c>
      <c r="I158" s="125">
        <f t="shared" si="3"/>
        <v>0</v>
      </c>
      <c r="J158" s="126">
        <f t="shared" si="3"/>
        <v>0</v>
      </c>
      <c r="K158" s="125">
        <f t="shared" si="3"/>
        <v>697916.25</v>
      </c>
      <c r="L158" s="126">
        <f t="shared" si="3"/>
        <v>697916.25</v>
      </c>
      <c r="M158" s="125">
        <f>SUM(M14:M157)</f>
        <v>21589746.82</v>
      </c>
      <c r="N158" s="127">
        <f>SUM(N16:N157)</f>
        <v>21589746.82</v>
      </c>
      <c r="O158" s="128">
        <f>SUM(O14:O157)</f>
        <v>130843968.19000001</v>
      </c>
      <c r="P158" s="129">
        <f>SUM(P14:P157)</f>
        <v>130843968.19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1" spans="1:16" s="29" customFormat="1" ht="12.75">
      <c r="A161" s="16" t="s">
        <v>25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" t="s">
        <v>55</v>
      </c>
      <c r="P161" s="30"/>
    </row>
    <row r="162" spans="1:16" s="29" customFormat="1" ht="12.75">
      <c r="A162" s="1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99"/>
      <c r="P162" s="30"/>
    </row>
    <row r="163" spans="1:16" s="29" customFormat="1" ht="12.75">
      <c r="A163" s="16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00"/>
      <c r="P163" s="30"/>
    </row>
    <row r="164" spans="1:16" s="29" customFormat="1" ht="12.75">
      <c r="A164" s="17" t="s">
        <v>658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0" t="s">
        <v>696</v>
      </c>
      <c r="P164" s="30"/>
    </row>
    <row r="165" spans="1:16" s="29" customFormat="1" ht="12.75">
      <c r="A165" s="16" t="s">
        <v>697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" t="s">
        <v>224</v>
      </c>
      <c r="P165" s="30"/>
    </row>
  </sheetData>
  <sheetProtection/>
  <mergeCells count="16">
    <mergeCell ref="A9:P9"/>
    <mergeCell ref="A10:A11"/>
    <mergeCell ref="C10:D10"/>
    <mergeCell ref="E10:F10"/>
    <mergeCell ref="G10:H10"/>
    <mergeCell ref="I10:J10"/>
    <mergeCell ref="K10:L10"/>
    <mergeCell ref="M10:N10"/>
    <mergeCell ref="O10:O11"/>
    <mergeCell ref="P10:P11"/>
    <mergeCell ref="A2:P2"/>
    <mergeCell ref="A3:P3"/>
    <mergeCell ref="A5:P5"/>
    <mergeCell ref="A6:P6"/>
    <mergeCell ref="A7:P7"/>
    <mergeCell ref="A8:P8"/>
  </mergeCells>
  <printOptions horizontalCentered="1"/>
  <pageMargins left="0.17" right="0.17" top="0.12" bottom="0.12" header="0.18" footer="0.12"/>
  <pageSetup horizontalDpi="300" verticalDpi="300" orientation="portrait" paperSize="9" scale="95" r:id="rId1"/>
  <headerFooter alignWithMargins="0">
    <oddFooter>&amp;C
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65"/>
  <sheetViews>
    <sheetView zoomScalePageLayoutView="0" workbookViewId="0" topLeftCell="A37">
      <selection activeCell="I63" sqref="I63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4.140625" style="1" customWidth="1"/>
    <col min="4" max="4" width="16.421875" style="1" bestFit="1" customWidth="1"/>
    <col min="5" max="5" width="1.7109375" style="1" customWidth="1"/>
    <col min="6" max="6" width="19.7109375" style="89" customWidth="1"/>
    <col min="7" max="7" width="11.28125" style="1" bestFit="1" customWidth="1"/>
    <col min="8" max="16384" width="9.140625" style="1" customWidth="1"/>
  </cols>
  <sheetData>
    <row r="1" spans="1:6" ht="15">
      <c r="A1" s="555" t="s">
        <v>1</v>
      </c>
      <c r="B1" s="555"/>
      <c r="C1" s="555"/>
      <c r="D1" s="555"/>
      <c r="E1" s="555"/>
      <c r="F1" s="555"/>
    </row>
    <row r="2" spans="1:6" ht="12.75">
      <c r="A2" s="551" t="s">
        <v>545</v>
      </c>
      <c r="B2" s="551"/>
      <c r="C2" s="551"/>
      <c r="D2" s="551"/>
      <c r="E2" s="551"/>
      <c r="F2" s="551"/>
    </row>
    <row r="3" spans="1:6" ht="12.75">
      <c r="A3" s="552" t="s">
        <v>215</v>
      </c>
      <c r="B3" s="552"/>
      <c r="C3" s="552"/>
      <c r="D3" s="552"/>
      <c r="E3" s="552"/>
      <c r="F3" s="552"/>
    </row>
    <row r="4" spans="1:6" ht="12.75">
      <c r="A4" s="552" t="str">
        <f>'DetSFP-3rd Qtr'!A4</f>
        <v>As of September 30, 2018</v>
      </c>
      <c r="B4" s="552"/>
      <c r="C4" s="552"/>
      <c r="D4" s="552"/>
      <c r="E4" s="552"/>
      <c r="F4" s="552"/>
    </row>
    <row r="7" spans="1:6" ht="12.75">
      <c r="A7" s="551" t="s">
        <v>9</v>
      </c>
      <c r="B7" s="551"/>
      <c r="C7" s="551"/>
      <c r="D7" s="551"/>
      <c r="E7" s="551"/>
      <c r="F7" s="551"/>
    </row>
    <row r="8" spans="4:7" ht="12.75">
      <c r="D8" s="78"/>
      <c r="E8" s="78"/>
      <c r="G8" s="78"/>
    </row>
    <row r="9" spans="1:7" ht="12.75">
      <c r="A9" s="154" t="s">
        <v>9</v>
      </c>
      <c r="B9" s="152"/>
      <c r="C9" s="151"/>
      <c r="D9" s="160"/>
      <c r="E9" s="160"/>
      <c r="F9" s="218"/>
      <c r="G9" s="78"/>
    </row>
    <row r="10" spans="1:7" ht="12.75">
      <c r="A10" s="152"/>
      <c r="B10" s="151" t="s">
        <v>83</v>
      </c>
      <c r="C10" s="151"/>
      <c r="D10" s="160"/>
      <c r="E10" s="160"/>
      <c r="F10" s="218"/>
      <c r="G10" s="78"/>
    </row>
    <row r="11" spans="1:7" ht="12.75">
      <c r="A11" s="159"/>
      <c r="B11" s="188" t="s">
        <v>296</v>
      </c>
      <c r="C11" s="152"/>
      <c r="D11" s="152"/>
      <c r="E11" s="174"/>
      <c r="F11" s="218">
        <f>'DetSFP-3rd Qtr'!F9</f>
        <v>24628196.85000001</v>
      </c>
      <c r="G11" s="78"/>
    </row>
    <row r="12" spans="1:7" ht="12.75" customHeight="1" hidden="1">
      <c r="A12" s="159"/>
      <c r="B12" s="190" t="s">
        <v>302</v>
      </c>
      <c r="C12" s="170"/>
      <c r="D12" s="170"/>
      <c r="E12" s="174"/>
      <c r="F12" s="218" t="s">
        <v>355</v>
      </c>
      <c r="G12" s="78"/>
    </row>
    <row r="13" spans="1:7" ht="12.75">
      <c r="A13" s="185"/>
      <c r="B13" s="189" t="s">
        <v>84</v>
      </c>
      <c r="C13" s="152"/>
      <c r="D13" s="163"/>
      <c r="E13" s="174"/>
      <c r="F13" s="216">
        <v>0</v>
      </c>
      <c r="G13" s="78"/>
    </row>
    <row r="14" spans="1:7" ht="12.75">
      <c r="A14" s="156"/>
      <c r="B14" s="188" t="s">
        <v>85</v>
      </c>
      <c r="C14" s="152"/>
      <c r="D14" s="163"/>
      <c r="E14" s="174"/>
      <c r="F14" s="218">
        <f>'DetSFP-3rd Qtr'!F22</f>
        <v>913099.95</v>
      </c>
      <c r="G14" s="78"/>
    </row>
    <row r="15" spans="1:7" ht="12.75">
      <c r="A15" s="159"/>
      <c r="B15" s="190" t="s">
        <v>308</v>
      </c>
      <c r="C15" s="170"/>
      <c r="D15" s="170"/>
      <c r="E15" s="174"/>
      <c r="F15" s="218">
        <f>'DetSFP-3rd Qtr'!F37</f>
        <v>216720</v>
      </c>
      <c r="G15" s="78"/>
    </row>
    <row r="16" spans="1:7" ht="12.75">
      <c r="A16" s="161"/>
      <c r="B16" s="191" t="s">
        <v>316</v>
      </c>
      <c r="C16" s="162"/>
      <c r="D16" s="152"/>
      <c r="E16" s="152"/>
      <c r="F16" s="219">
        <f>SUM(F11:F15)</f>
        <v>25758016.80000001</v>
      </c>
      <c r="G16" s="78"/>
    </row>
    <row r="17" spans="1:7" ht="12.75">
      <c r="A17" s="161"/>
      <c r="B17" s="166"/>
      <c r="C17" s="162"/>
      <c r="D17" s="152"/>
      <c r="E17" s="152"/>
      <c r="G17" s="78"/>
    </row>
    <row r="18" spans="1:7" ht="14.25" customHeight="1">
      <c r="A18" s="162"/>
      <c r="B18" s="151" t="s">
        <v>317</v>
      </c>
      <c r="C18" s="162"/>
      <c r="D18" s="152"/>
      <c r="E18" s="152"/>
      <c r="G18" s="78"/>
    </row>
    <row r="19" spans="1:7" ht="12.75">
      <c r="A19" s="159"/>
      <c r="B19" s="190" t="s">
        <v>302</v>
      </c>
      <c r="C19" s="170"/>
      <c r="D19" s="170"/>
      <c r="E19" s="174"/>
      <c r="F19" s="218">
        <v>0</v>
      </c>
      <c r="G19" s="78"/>
    </row>
    <row r="20" spans="1:7" ht="12.75">
      <c r="A20" s="156"/>
      <c r="B20" s="192" t="s">
        <v>318</v>
      </c>
      <c r="C20" s="152"/>
      <c r="D20" s="163"/>
      <c r="E20" s="174"/>
      <c r="F20" s="218">
        <v>0</v>
      </c>
      <c r="G20" s="78"/>
    </row>
    <row r="21" spans="1:7" ht="12.75">
      <c r="A21" s="156"/>
      <c r="B21" s="192" t="s">
        <v>86</v>
      </c>
      <c r="C21" s="152"/>
      <c r="D21" s="152"/>
      <c r="E21" s="174"/>
      <c r="F21" s="218">
        <f>'DetSFP-3rd Qtr'!F49</f>
        <v>2899747.1700000004</v>
      </c>
      <c r="G21" s="78"/>
    </row>
    <row r="22" spans="1:7" ht="12.75">
      <c r="A22" s="156"/>
      <c r="B22" s="192" t="s">
        <v>333</v>
      </c>
      <c r="C22" s="186"/>
      <c r="D22" s="186"/>
      <c r="E22" s="174"/>
      <c r="F22" s="218">
        <v>0</v>
      </c>
      <c r="G22" s="78"/>
    </row>
    <row r="23" spans="1:7" ht="12.75">
      <c r="A23" s="156"/>
      <c r="B23" s="192" t="s">
        <v>334</v>
      </c>
      <c r="C23" s="186"/>
      <c r="D23" s="186"/>
      <c r="E23" s="174"/>
      <c r="F23" s="218">
        <v>0</v>
      </c>
      <c r="G23" s="78"/>
    </row>
    <row r="24" spans="1:7" ht="12.75">
      <c r="A24" s="156"/>
      <c r="B24" s="192" t="s">
        <v>335</v>
      </c>
      <c r="C24" s="152"/>
      <c r="D24" s="163"/>
      <c r="E24" s="174"/>
      <c r="F24" s="218">
        <v>0</v>
      </c>
      <c r="G24" s="78"/>
    </row>
    <row r="25" spans="1:7" ht="12.75">
      <c r="A25" s="157"/>
      <c r="B25" s="191" t="s">
        <v>337</v>
      </c>
      <c r="C25" s="180"/>
      <c r="D25" s="180"/>
      <c r="E25" s="166"/>
      <c r="F25" s="219">
        <f>SUM(F19:F24)</f>
        <v>2899747.1700000004</v>
      </c>
      <c r="G25" s="78"/>
    </row>
    <row r="26" spans="1:7" ht="12.75">
      <c r="A26" s="157"/>
      <c r="B26" s="152"/>
      <c r="C26" s="180"/>
      <c r="D26" s="180"/>
      <c r="E26" s="166"/>
      <c r="F26" s="216"/>
      <c r="G26" s="78"/>
    </row>
    <row r="27" spans="1:7" ht="12.75">
      <c r="A27" s="157"/>
      <c r="B27" s="193" t="s">
        <v>356</v>
      </c>
      <c r="C27" s="175"/>
      <c r="D27" s="175"/>
      <c r="E27" s="187"/>
      <c r="F27" s="221">
        <f>+F16+F25</f>
        <v>28657763.97000001</v>
      </c>
      <c r="G27" s="78"/>
    </row>
    <row r="28" spans="1:7" ht="12.75">
      <c r="A28" s="157"/>
      <c r="B28" s="160"/>
      <c r="C28" s="180"/>
      <c r="D28" s="180"/>
      <c r="E28" s="166"/>
      <c r="G28" s="78"/>
    </row>
    <row r="29" spans="1:7" ht="12.75">
      <c r="A29" s="554" t="s">
        <v>16</v>
      </c>
      <c r="B29" s="554"/>
      <c r="C29" s="554"/>
      <c r="D29" s="554"/>
      <c r="E29" s="160"/>
      <c r="G29" s="78"/>
    </row>
    <row r="30" spans="1:7" ht="12.75">
      <c r="A30" s="151"/>
      <c r="B30" s="151" t="s">
        <v>89</v>
      </c>
      <c r="C30" s="151"/>
      <c r="D30" s="151"/>
      <c r="E30" s="160"/>
      <c r="G30" s="78"/>
    </row>
    <row r="31" spans="1:7" ht="12.75">
      <c r="A31" s="161"/>
      <c r="B31" s="192" t="s">
        <v>339</v>
      </c>
      <c r="C31" s="152"/>
      <c r="D31" s="163"/>
      <c r="E31" s="174"/>
      <c r="F31" s="218">
        <f>'DetSFP-3rd Qtr'!F99</f>
        <v>1.3960743672214448E-10</v>
      </c>
      <c r="G31" s="78"/>
    </row>
    <row r="32" spans="1:7" ht="12.75">
      <c r="A32" s="161"/>
      <c r="B32" s="192" t="s">
        <v>341</v>
      </c>
      <c r="C32" s="152"/>
      <c r="D32" s="163"/>
      <c r="E32" s="174"/>
      <c r="F32" s="218">
        <f>'DetSFP-3rd Qtr'!F103</f>
        <v>545218.6600000004</v>
      </c>
      <c r="G32" s="78"/>
    </row>
    <row r="33" spans="1:8" ht="12.75">
      <c r="A33" s="161"/>
      <c r="B33" s="192" t="s">
        <v>344</v>
      </c>
      <c r="C33" s="152"/>
      <c r="D33" s="163"/>
      <c r="E33" s="174"/>
      <c r="F33" s="218">
        <v>0</v>
      </c>
      <c r="G33" s="3"/>
      <c r="H33" s="3"/>
    </row>
    <row r="34" spans="1:8" ht="12.75">
      <c r="A34" s="161"/>
      <c r="B34" s="192" t="s">
        <v>345</v>
      </c>
      <c r="C34" s="152"/>
      <c r="D34" s="163"/>
      <c r="E34" s="174"/>
      <c r="F34" s="218">
        <v>0</v>
      </c>
      <c r="G34" s="3"/>
      <c r="H34" s="3"/>
    </row>
    <row r="35" spans="1:8" ht="12.75">
      <c r="A35" s="161"/>
      <c r="B35" s="192" t="s">
        <v>346</v>
      </c>
      <c r="C35" s="152"/>
      <c r="D35" s="163"/>
      <c r="E35" s="174"/>
      <c r="F35" s="218">
        <v>0</v>
      </c>
      <c r="G35" s="3"/>
      <c r="H35" s="3"/>
    </row>
    <row r="36" spans="1:8" ht="12.75">
      <c r="A36" s="161"/>
      <c r="B36" s="192" t="s">
        <v>17</v>
      </c>
      <c r="C36" s="152"/>
      <c r="D36" s="163"/>
      <c r="E36" s="174"/>
      <c r="F36" s="217">
        <f>'DetSFP-3rd Qtr'!F110</f>
        <v>0</v>
      </c>
      <c r="G36" s="3"/>
      <c r="H36" s="3"/>
    </row>
    <row r="37" spans="1:8" ht="12.75">
      <c r="A37" s="161"/>
      <c r="B37" s="192"/>
      <c r="C37" s="152"/>
      <c r="D37" s="163"/>
      <c r="E37" s="152"/>
      <c r="G37" s="3"/>
      <c r="H37" s="3"/>
    </row>
    <row r="38" spans="1:7" ht="12.75">
      <c r="A38" s="161"/>
      <c r="B38" s="191" t="s">
        <v>347</v>
      </c>
      <c r="C38" s="152"/>
      <c r="D38" s="163"/>
      <c r="E38" s="152"/>
      <c r="F38" s="234">
        <f>SUM(F31:F37)</f>
        <v>545218.6600000005</v>
      </c>
      <c r="G38" s="78"/>
    </row>
    <row r="39" spans="1:7" ht="12.75">
      <c r="A39" s="161"/>
      <c r="B39" s="152"/>
      <c r="C39" s="152"/>
      <c r="D39" s="163"/>
      <c r="E39" s="152"/>
      <c r="F39" s="216"/>
      <c r="G39" s="78"/>
    </row>
    <row r="40" spans="1:7" ht="12.75">
      <c r="A40" s="161"/>
      <c r="B40" s="153" t="s">
        <v>348</v>
      </c>
      <c r="C40" s="174"/>
      <c r="D40" s="163"/>
      <c r="E40" s="152"/>
      <c r="F40" s="221">
        <f>+F38</f>
        <v>545218.6600000005</v>
      </c>
      <c r="G40" s="78"/>
    </row>
    <row r="41" spans="1:7" ht="12.75">
      <c r="A41" s="161"/>
      <c r="B41" s="153"/>
      <c r="C41" s="174"/>
      <c r="D41" s="163"/>
      <c r="E41" s="152"/>
      <c r="F41" s="235"/>
      <c r="G41" s="78"/>
    </row>
    <row r="42" spans="1:7" ht="13.5" thickBot="1">
      <c r="A42" s="178" t="s">
        <v>349</v>
      </c>
      <c r="B42" s="153"/>
      <c r="C42" s="174"/>
      <c r="D42" s="163"/>
      <c r="E42" s="152"/>
      <c r="F42" s="235">
        <f>+F27-F40</f>
        <v>28112545.31000001</v>
      </c>
      <c r="G42" s="78"/>
    </row>
    <row r="43" spans="1:7" ht="13.5" thickTop="1">
      <c r="A43" s="161"/>
      <c r="B43" s="162"/>
      <c r="C43" s="174"/>
      <c r="D43" s="163"/>
      <c r="E43" s="152"/>
      <c r="F43" s="233"/>
      <c r="G43" s="78"/>
    </row>
    <row r="44" spans="1:7" ht="12.75">
      <c r="A44" s="151" t="s">
        <v>357</v>
      </c>
      <c r="B44" s="162"/>
      <c r="C44" s="158"/>
      <c r="D44" s="158"/>
      <c r="E44" s="160"/>
      <c r="G44" s="78"/>
    </row>
    <row r="45" spans="1:7" ht="12.75">
      <c r="A45" s="161"/>
      <c r="B45" s="192" t="s">
        <v>351</v>
      </c>
      <c r="C45" s="152"/>
      <c r="D45" s="163"/>
      <c r="E45" s="152"/>
      <c r="F45" s="218">
        <f>'DetSFP-3rd Qtr'!F122</f>
        <v>28112545.31</v>
      </c>
      <c r="G45" s="78"/>
    </row>
    <row r="46" spans="1:7" ht="12.75">
      <c r="A46" s="161"/>
      <c r="B46" s="192" t="s">
        <v>353</v>
      </c>
      <c r="C46" s="152"/>
      <c r="D46" s="163"/>
      <c r="E46" s="152"/>
      <c r="F46" s="218">
        <f>'DetSFP-3rd Qtr'!F123</f>
        <v>0</v>
      </c>
      <c r="G46" s="78"/>
    </row>
    <row r="47" spans="1:7" ht="13.5" thickBot="1">
      <c r="A47" s="161"/>
      <c r="B47" s="191" t="s">
        <v>354</v>
      </c>
      <c r="C47" s="174"/>
      <c r="D47" s="163"/>
      <c r="E47" s="152"/>
      <c r="F47" s="236">
        <f>+F45+F46</f>
        <v>28112545.31</v>
      </c>
      <c r="G47" s="78"/>
    </row>
    <row r="48" spans="4:7" ht="13.5" thickTop="1">
      <c r="D48" s="78"/>
      <c r="E48" s="78"/>
      <c r="G48" s="78"/>
    </row>
    <row r="49" spans="4:7" ht="12.75">
      <c r="D49" s="78"/>
      <c r="E49" s="78"/>
      <c r="G49" s="78"/>
    </row>
    <row r="50" spans="4:7" ht="12.75">
      <c r="D50" s="78"/>
      <c r="E50" s="78"/>
      <c r="G50" s="78"/>
    </row>
    <row r="51" spans="1:7" ht="12.75">
      <c r="A51" s="16" t="s">
        <v>25</v>
      </c>
      <c r="B51" s="77"/>
      <c r="E51" s="1" t="s">
        <v>55</v>
      </c>
      <c r="G51" s="78"/>
    </row>
    <row r="52" spans="1:7" ht="12.75">
      <c r="A52" s="16"/>
      <c r="B52" s="77"/>
      <c r="C52" s="99"/>
      <c r="E52" s="99"/>
      <c r="G52" s="78"/>
    </row>
    <row r="53" spans="1:7" ht="12.75">
      <c r="A53" s="16"/>
      <c r="B53" s="77"/>
      <c r="C53" s="100"/>
      <c r="E53" s="100"/>
      <c r="G53" s="78"/>
    </row>
    <row r="54" spans="1:7" ht="12.75">
      <c r="A54" s="17" t="s">
        <v>222</v>
      </c>
      <c r="B54" s="77"/>
      <c r="E54" s="20" t="s">
        <v>628</v>
      </c>
      <c r="G54" s="78"/>
    </row>
    <row r="55" spans="1:7" ht="12.75">
      <c r="A55" s="16" t="s">
        <v>630</v>
      </c>
      <c r="B55" s="77"/>
      <c r="D55" s="77"/>
      <c r="E55" s="1" t="s">
        <v>629</v>
      </c>
      <c r="G55" s="78"/>
    </row>
    <row r="56" spans="4:7" ht="12.75">
      <c r="D56" s="78"/>
      <c r="E56" s="78"/>
      <c r="G56" s="78"/>
    </row>
    <row r="57" spans="4:7" ht="12.75">
      <c r="D57" s="78"/>
      <c r="E57" s="78"/>
      <c r="G57" s="78"/>
    </row>
    <row r="58" spans="4:7" ht="12.75">
      <c r="D58" s="78"/>
      <c r="E58" s="78"/>
      <c r="G58" s="78"/>
    </row>
    <row r="59" spans="4:7" ht="12.75">
      <c r="D59" s="78"/>
      <c r="E59" s="78"/>
      <c r="G59" s="78"/>
    </row>
    <row r="60" spans="4:7" ht="12.75">
      <c r="D60" s="78"/>
      <c r="E60" s="78"/>
      <c r="G60" s="78"/>
    </row>
    <row r="61" spans="4:7" ht="12.75">
      <c r="D61" s="78"/>
      <c r="E61" s="78"/>
      <c r="G61" s="78"/>
    </row>
    <row r="62" spans="4:7" ht="12.75">
      <c r="D62" s="78"/>
      <c r="E62" s="78"/>
      <c r="G62" s="78"/>
    </row>
    <row r="63" spans="4:7" ht="12.75">
      <c r="D63" s="78"/>
      <c r="E63" s="78"/>
      <c r="G63" s="78"/>
    </row>
    <row r="64" spans="4:7" ht="12.75">
      <c r="D64" s="78"/>
      <c r="E64" s="78"/>
      <c r="G64" s="78"/>
    </row>
    <row r="65" spans="4:7" ht="12.75">
      <c r="D65" s="78"/>
      <c r="E65" s="78"/>
      <c r="G65" s="78"/>
    </row>
    <row r="66" spans="4:7" ht="12.75">
      <c r="D66" s="78"/>
      <c r="E66" s="78"/>
      <c r="G66" s="78"/>
    </row>
    <row r="67" spans="4:7" ht="12.75">
      <c r="D67" s="78"/>
      <c r="E67" s="78"/>
      <c r="G67" s="78"/>
    </row>
    <row r="68" spans="4:7" ht="12.75">
      <c r="D68" s="78"/>
      <c r="E68" s="78"/>
      <c r="G68" s="78"/>
    </row>
    <row r="69" spans="4:7" ht="12.75">
      <c r="D69" s="78"/>
      <c r="E69" s="78"/>
      <c r="G69" s="78"/>
    </row>
    <row r="70" spans="4:7" ht="12.75">
      <c r="D70" s="78"/>
      <c r="E70" s="78"/>
      <c r="G70" s="78"/>
    </row>
    <row r="71" spans="4:7" ht="12.75">
      <c r="D71" s="78"/>
      <c r="E71" s="78"/>
      <c r="G71" s="78"/>
    </row>
    <row r="72" spans="4:7" ht="12.75">
      <c r="D72" s="78"/>
      <c r="E72" s="78"/>
      <c r="G72" s="78"/>
    </row>
    <row r="73" spans="4:7" ht="12.75">
      <c r="D73" s="78"/>
      <c r="E73" s="78"/>
      <c r="G73" s="78"/>
    </row>
    <row r="74" spans="4:7" ht="12.75">
      <c r="D74" s="78"/>
      <c r="E74" s="78"/>
      <c r="G74" s="78"/>
    </row>
    <row r="75" spans="4:7" ht="12.75">
      <c r="D75" s="78"/>
      <c r="E75" s="78"/>
      <c r="G75" s="78"/>
    </row>
    <row r="76" spans="4:7" ht="12.75">
      <c r="D76" s="78"/>
      <c r="E76" s="78"/>
      <c r="G76" s="78"/>
    </row>
    <row r="77" spans="4:7" ht="12.75">
      <c r="D77" s="78"/>
      <c r="E77" s="78"/>
      <c r="G77" s="78"/>
    </row>
    <row r="78" spans="4:7" ht="12.75">
      <c r="D78" s="78"/>
      <c r="E78" s="78"/>
      <c r="G78" s="78"/>
    </row>
    <row r="79" spans="4:7" ht="12.75">
      <c r="D79" s="78"/>
      <c r="E79" s="78"/>
      <c r="G79" s="78"/>
    </row>
    <row r="80" spans="4:7" ht="12.75">
      <c r="D80" s="78"/>
      <c r="E80" s="78"/>
      <c r="G80" s="78"/>
    </row>
    <row r="81" spans="4:7" ht="12.75">
      <c r="D81" s="78"/>
      <c r="E81" s="78"/>
      <c r="G81" s="78"/>
    </row>
    <row r="82" spans="4:7" ht="12.75">
      <c r="D82" s="78"/>
      <c r="E82" s="78"/>
      <c r="G82" s="78"/>
    </row>
    <row r="83" spans="4:7" ht="12.75">
      <c r="D83" s="78"/>
      <c r="E83" s="78"/>
      <c r="G83" s="78"/>
    </row>
    <row r="84" spans="4:7" ht="12.75">
      <c r="D84" s="78"/>
      <c r="E84" s="78"/>
      <c r="G84" s="78"/>
    </row>
    <row r="85" spans="4:7" ht="12.75">
      <c r="D85" s="78"/>
      <c r="E85" s="78"/>
      <c r="G85" s="78"/>
    </row>
    <row r="86" spans="4:7" ht="12.75">
      <c r="D86" s="78"/>
      <c r="E86" s="78"/>
      <c r="G86" s="78"/>
    </row>
    <row r="87" spans="4:7" ht="12.75">
      <c r="D87" s="78"/>
      <c r="E87" s="78"/>
      <c r="G87" s="78"/>
    </row>
    <row r="88" spans="4:7" ht="12.75">
      <c r="D88" s="78"/>
      <c r="E88" s="78"/>
      <c r="G88" s="78"/>
    </row>
    <row r="89" spans="4:7" ht="12.75">
      <c r="D89" s="78"/>
      <c r="E89" s="78"/>
      <c r="G89" s="78"/>
    </row>
    <row r="90" spans="4:7" ht="12.75">
      <c r="D90" s="78"/>
      <c r="E90" s="78"/>
      <c r="G90" s="78"/>
    </row>
    <row r="91" spans="4:7" ht="12.75">
      <c r="D91" s="78"/>
      <c r="E91" s="78"/>
      <c r="G91" s="78"/>
    </row>
    <row r="92" spans="4:7" ht="12.75">
      <c r="D92" s="78"/>
      <c r="E92" s="78"/>
      <c r="G92" s="78"/>
    </row>
    <row r="93" spans="4:7" ht="12.75">
      <c r="D93" s="78"/>
      <c r="E93" s="78"/>
      <c r="G93" s="78"/>
    </row>
    <row r="94" spans="4:7" ht="12.75">
      <c r="D94" s="78"/>
      <c r="E94" s="78"/>
      <c r="G94" s="78"/>
    </row>
    <row r="95" spans="4:7" ht="12.75">
      <c r="D95" s="78"/>
      <c r="E95" s="78"/>
      <c r="G95" s="78"/>
    </row>
    <row r="96" spans="4:7" ht="12.75">
      <c r="D96" s="78"/>
      <c r="E96" s="78"/>
      <c r="G96" s="78"/>
    </row>
    <row r="97" spans="4:7" ht="12.75">
      <c r="D97" s="78"/>
      <c r="E97" s="78"/>
      <c r="G97" s="78"/>
    </row>
    <row r="98" spans="4:7" ht="12.75">
      <c r="D98" s="78"/>
      <c r="E98" s="78"/>
      <c r="G98" s="78"/>
    </row>
    <row r="99" spans="4:7" ht="12.75">
      <c r="D99" s="78"/>
      <c r="E99" s="78"/>
      <c r="G99" s="78"/>
    </row>
    <row r="100" spans="4:7" ht="12.75">
      <c r="D100" s="78"/>
      <c r="E100" s="78"/>
      <c r="G100" s="78"/>
    </row>
    <row r="101" spans="4:7" ht="12.75">
      <c r="D101" s="78"/>
      <c r="E101" s="78"/>
      <c r="G101" s="78"/>
    </row>
    <row r="102" spans="4:7" ht="12.75">
      <c r="D102" s="78"/>
      <c r="E102" s="78"/>
      <c r="G102" s="78"/>
    </row>
    <row r="103" spans="4:7" ht="12.75">
      <c r="D103" s="78"/>
      <c r="E103" s="78"/>
      <c r="G103" s="78"/>
    </row>
    <row r="104" spans="4:7" ht="12.75">
      <c r="D104" s="78"/>
      <c r="E104" s="78"/>
      <c r="G104" s="78"/>
    </row>
    <row r="105" spans="4:7" ht="12.75">
      <c r="D105" s="78"/>
      <c r="E105" s="78"/>
      <c r="G105" s="78"/>
    </row>
    <row r="106" spans="4:7" ht="12.75">
      <c r="D106" s="78"/>
      <c r="E106" s="78"/>
      <c r="G106" s="78"/>
    </row>
    <row r="107" spans="4:7" ht="12.75">
      <c r="D107" s="78"/>
      <c r="E107" s="78"/>
      <c r="G107" s="78"/>
    </row>
    <row r="108" spans="4:7" ht="12.75">
      <c r="D108" s="78"/>
      <c r="E108" s="78"/>
      <c r="G108" s="78"/>
    </row>
    <row r="109" spans="4:7" ht="12.75">
      <c r="D109" s="78"/>
      <c r="E109" s="78"/>
      <c r="G109" s="78"/>
    </row>
    <row r="110" spans="4:7" ht="12.75">
      <c r="D110" s="78"/>
      <c r="E110" s="78"/>
      <c r="G110" s="78"/>
    </row>
    <row r="111" spans="4:7" ht="12.75">
      <c r="D111" s="78"/>
      <c r="E111" s="78"/>
      <c r="G111" s="78"/>
    </row>
    <row r="112" spans="4:7" ht="12.75">
      <c r="D112" s="78"/>
      <c r="E112" s="78"/>
      <c r="G112" s="78"/>
    </row>
    <row r="113" spans="4:7" ht="12.75">
      <c r="D113" s="78"/>
      <c r="E113" s="78"/>
      <c r="G113" s="78"/>
    </row>
    <row r="114" spans="4:7" ht="12.75">
      <c r="D114" s="78"/>
      <c r="E114" s="78"/>
      <c r="G114" s="78"/>
    </row>
    <row r="115" spans="4:7" ht="12.75">
      <c r="D115" s="78"/>
      <c r="E115" s="78"/>
      <c r="G115" s="78"/>
    </row>
    <row r="116" spans="4:7" ht="12.75">
      <c r="D116" s="78"/>
      <c r="E116" s="78"/>
      <c r="G116" s="78"/>
    </row>
    <row r="117" spans="4:7" ht="12.75">
      <c r="D117" s="78"/>
      <c r="E117" s="78"/>
      <c r="G117" s="78"/>
    </row>
    <row r="118" spans="4:7" ht="12.75">
      <c r="D118" s="78"/>
      <c r="E118" s="78"/>
      <c r="G118" s="78"/>
    </row>
    <row r="119" spans="4:7" ht="12.75">
      <c r="D119" s="78"/>
      <c r="E119" s="78"/>
      <c r="G119" s="78"/>
    </row>
    <row r="120" spans="4:7" ht="12.75">
      <c r="D120" s="78"/>
      <c r="E120" s="78"/>
      <c r="G120" s="78"/>
    </row>
    <row r="121" spans="4:7" ht="12.75">
      <c r="D121" s="78"/>
      <c r="E121" s="78"/>
      <c r="G121" s="78"/>
    </row>
    <row r="122" spans="4:7" ht="12.75">
      <c r="D122" s="78"/>
      <c r="E122" s="78"/>
      <c r="G122" s="78"/>
    </row>
    <row r="123" spans="4:7" ht="12.75">
      <c r="D123" s="78"/>
      <c r="E123" s="78"/>
      <c r="G123" s="78"/>
    </row>
    <row r="124" spans="4:7" ht="12.75">
      <c r="D124" s="78"/>
      <c r="E124" s="78"/>
      <c r="G124" s="78"/>
    </row>
    <row r="125" spans="4:7" ht="12.75">
      <c r="D125" s="78"/>
      <c r="E125" s="78"/>
      <c r="G125" s="78"/>
    </row>
    <row r="126" spans="4:7" ht="12.75">
      <c r="D126" s="78"/>
      <c r="E126" s="78"/>
      <c r="G126" s="78"/>
    </row>
    <row r="127" spans="4:7" ht="12.75">
      <c r="D127" s="78"/>
      <c r="E127" s="78"/>
      <c r="G127" s="78"/>
    </row>
    <row r="128" spans="4:7" ht="12.75">
      <c r="D128" s="78"/>
      <c r="E128" s="78"/>
      <c r="G128" s="78"/>
    </row>
    <row r="129" spans="4:7" ht="12.75">
      <c r="D129" s="78"/>
      <c r="E129" s="78"/>
      <c r="G129" s="78"/>
    </row>
    <row r="130" spans="4:7" ht="12.75">
      <c r="D130" s="78"/>
      <c r="E130" s="78"/>
      <c r="G130" s="78"/>
    </row>
    <row r="131" spans="4:7" ht="12.75">
      <c r="D131" s="78"/>
      <c r="E131" s="78"/>
      <c r="G131" s="78"/>
    </row>
    <row r="132" spans="4:7" ht="12.75">
      <c r="D132" s="78"/>
      <c r="E132" s="78"/>
      <c r="G132" s="78"/>
    </row>
    <row r="133" spans="4:7" ht="12.75">
      <c r="D133" s="78"/>
      <c r="E133" s="78"/>
      <c r="G133" s="78"/>
    </row>
    <row r="134" spans="4:7" ht="12.75">
      <c r="D134" s="78"/>
      <c r="E134" s="78"/>
      <c r="G134" s="78"/>
    </row>
    <row r="135" spans="4:7" ht="12.75">
      <c r="D135" s="78"/>
      <c r="E135" s="78"/>
      <c r="G135" s="78"/>
    </row>
    <row r="136" spans="4:7" ht="12.75">
      <c r="D136" s="78"/>
      <c r="E136" s="78"/>
      <c r="G136" s="78"/>
    </row>
    <row r="137" spans="4:7" ht="12.75">
      <c r="D137" s="78"/>
      <c r="E137" s="78"/>
      <c r="G137" s="78"/>
    </row>
    <row r="138" spans="4:7" ht="12.75">
      <c r="D138" s="78"/>
      <c r="E138" s="78"/>
      <c r="G138" s="78"/>
    </row>
    <row r="139" spans="4:7" ht="12.75">
      <c r="D139" s="78"/>
      <c r="E139" s="78"/>
      <c r="G139" s="78"/>
    </row>
    <row r="140" spans="4:7" ht="12.75">
      <c r="D140" s="78"/>
      <c r="E140" s="78"/>
      <c r="G140" s="78"/>
    </row>
    <row r="141" spans="4:7" ht="12.75">
      <c r="D141" s="78"/>
      <c r="E141" s="78"/>
      <c r="G141" s="78"/>
    </row>
    <row r="142" spans="4:7" ht="12.75">
      <c r="D142" s="78"/>
      <c r="E142" s="78"/>
      <c r="G142" s="78"/>
    </row>
    <row r="143" spans="4:7" ht="12.75">
      <c r="D143" s="78"/>
      <c r="E143" s="78"/>
      <c r="G143" s="78"/>
    </row>
    <row r="144" spans="4:7" ht="12.75">
      <c r="D144" s="78"/>
      <c r="E144" s="78"/>
      <c r="G144" s="78"/>
    </row>
    <row r="145" spans="4:7" ht="12.75">
      <c r="D145" s="78"/>
      <c r="E145" s="78"/>
      <c r="G145" s="78"/>
    </row>
    <row r="146" spans="4:7" ht="12.75">
      <c r="D146" s="78"/>
      <c r="E146" s="78"/>
      <c r="G146" s="78"/>
    </row>
    <row r="147" spans="4:7" ht="12.75">
      <c r="D147" s="78"/>
      <c r="E147" s="78"/>
      <c r="G147" s="78"/>
    </row>
    <row r="148" spans="4:7" ht="12.75">
      <c r="D148" s="78"/>
      <c r="E148" s="78"/>
      <c r="G148" s="78"/>
    </row>
    <row r="149" spans="4:7" ht="12.75">
      <c r="D149" s="78"/>
      <c r="E149" s="78"/>
      <c r="G149" s="78"/>
    </row>
    <row r="150" spans="4:7" ht="12.75">
      <c r="D150" s="78"/>
      <c r="E150" s="78"/>
      <c r="G150" s="78"/>
    </row>
    <row r="151" spans="4:7" ht="12.75">
      <c r="D151" s="78"/>
      <c r="E151" s="78"/>
      <c r="G151" s="78"/>
    </row>
    <row r="152" spans="4:7" ht="12.75">
      <c r="D152" s="78"/>
      <c r="E152" s="78"/>
      <c r="G152" s="78"/>
    </row>
    <row r="153" spans="4:7" ht="12.75">
      <c r="D153" s="78"/>
      <c r="E153" s="78"/>
      <c r="G153" s="78"/>
    </row>
    <row r="154" spans="4:7" ht="12.75">
      <c r="D154" s="78"/>
      <c r="E154" s="78"/>
      <c r="G154" s="78"/>
    </row>
    <row r="155" spans="4:7" ht="12.75">
      <c r="D155" s="78"/>
      <c r="E155" s="78"/>
      <c r="G155" s="78"/>
    </row>
    <row r="156" spans="4:7" ht="12.75">
      <c r="D156" s="78"/>
      <c r="E156" s="78"/>
      <c r="G156" s="78"/>
    </row>
    <row r="157" spans="4:7" ht="12.75">
      <c r="D157" s="78"/>
      <c r="E157" s="78"/>
      <c r="G157" s="78"/>
    </row>
    <row r="158" spans="4:7" ht="12.75">
      <c r="D158" s="78"/>
      <c r="E158" s="78"/>
      <c r="G158" s="78"/>
    </row>
    <row r="159" spans="4:7" ht="12.75">
      <c r="D159" s="78"/>
      <c r="E159" s="78"/>
      <c r="G159" s="78"/>
    </row>
    <row r="160" spans="4:7" ht="12.75">
      <c r="D160" s="78"/>
      <c r="E160" s="78"/>
      <c r="G160" s="78"/>
    </row>
    <row r="161" spans="4:7" ht="12.75">
      <c r="D161" s="78"/>
      <c r="E161" s="78"/>
      <c r="G161" s="78"/>
    </row>
    <row r="162" spans="4:7" ht="12.75">
      <c r="D162" s="78"/>
      <c r="E162" s="78"/>
      <c r="G162" s="78"/>
    </row>
    <row r="163" spans="4:7" ht="12.75">
      <c r="D163" s="78"/>
      <c r="E163" s="78"/>
      <c r="G163" s="78"/>
    </row>
    <row r="164" spans="4:7" ht="12.75">
      <c r="D164" s="78"/>
      <c r="E164" s="78"/>
      <c r="G164" s="78"/>
    </row>
    <row r="165" spans="4:7" ht="12.75">
      <c r="D165" s="78"/>
      <c r="E165" s="78"/>
      <c r="G165" s="78"/>
    </row>
  </sheetData>
  <sheetProtection/>
  <mergeCells count="6">
    <mergeCell ref="A1:F1"/>
    <mergeCell ref="A2:F2"/>
    <mergeCell ref="A3:F3"/>
    <mergeCell ref="A4:F4"/>
    <mergeCell ref="A7:F7"/>
    <mergeCell ref="A29:D29"/>
  </mergeCells>
  <printOptions/>
  <pageMargins left="0.7" right="0.7" top="0.75" bottom="0.75" header="0.3" footer="0.3"/>
  <pageSetup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2:H3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22.421875" style="1" customWidth="1"/>
    <col min="4" max="4" width="16.57421875" style="1" customWidth="1"/>
    <col min="5" max="5" width="16.7109375" style="1" customWidth="1"/>
    <col min="6" max="16384" width="9.140625" style="1" customWidth="1"/>
  </cols>
  <sheetData>
    <row r="2" spans="1:5" ht="12.75">
      <c r="A2" s="551" t="s">
        <v>1</v>
      </c>
      <c r="B2" s="551"/>
      <c r="C2" s="551"/>
      <c r="D2" s="551"/>
      <c r="E2" s="87"/>
    </row>
    <row r="3" spans="1:5" ht="12.75">
      <c r="A3" s="551" t="s">
        <v>95</v>
      </c>
      <c r="B3" s="551"/>
      <c r="C3" s="551"/>
      <c r="D3" s="551"/>
      <c r="E3" s="87"/>
    </row>
    <row r="4" spans="1:5" ht="12.75">
      <c r="A4" s="552" t="s">
        <v>215</v>
      </c>
      <c r="B4" s="552"/>
      <c r="C4" s="552"/>
      <c r="D4" s="552"/>
      <c r="E4" s="16"/>
    </row>
    <row r="5" spans="1:5" ht="12.75">
      <c r="A5" s="552" t="s">
        <v>626</v>
      </c>
      <c r="B5" s="552"/>
      <c r="C5" s="552"/>
      <c r="D5" s="552"/>
      <c r="E5" s="16"/>
    </row>
    <row r="9" spans="1:5" ht="12.75">
      <c r="A9" s="214" t="s">
        <v>594</v>
      </c>
      <c r="B9" s="205"/>
      <c r="C9" s="205"/>
      <c r="D9" s="225">
        <f>Jan20!D69</f>
        <v>93587952.88</v>
      </c>
      <c r="E9" s="79"/>
    </row>
    <row r="10" spans="1:5" ht="12.75">
      <c r="A10" s="214" t="s">
        <v>358</v>
      </c>
      <c r="B10" s="205"/>
      <c r="C10" s="205"/>
      <c r="D10" s="237"/>
      <c r="E10" s="109"/>
    </row>
    <row r="11" spans="1:5" ht="12.75">
      <c r="A11" s="238" t="s">
        <v>359</v>
      </c>
      <c r="B11" s="215"/>
      <c r="C11" s="215"/>
      <c r="D11" s="237">
        <v>0</v>
      </c>
      <c r="E11" s="79"/>
    </row>
    <row r="12" spans="1:5" ht="12.75">
      <c r="A12" s="238" t="s">
        <v>360</v>
      </c>
      <c r="B12" s="215"/>
      <c r="C12" s="215"/>
      <c r="D12" s="237">
        <v>0</v>
      </c>
      <c r="E12" s="79"/>
    </row>
    <row r="13" spans="1:5" ht="12.75">
      <c r="A13" s="238" t="s">
        <v>361</v>
      </c>
      <c r="B13" s="215"/>
      <c r="C13" s="215"/>
      <c r="D13" s="239">
        <f>-13855000-15000</f>
        <v>-13870000</v>
      </c>
      <c r="E13" s="79"/>
    </row>
    <row r="14" spans="1:5" ht="12.75">
      <c r="A14" s="240" t="s">
        <v>362</v>
      </c>
      <c r="B14" s="157"/>
      <c r="C14" s="157"/>
      <c r="D14" s="241">
        <f>SUM(D9:D13)</f>
        <v>79717952.88</v>
      </c>
      <c r="E14" s="79"/>
    </row>
    <row r="15" spans="1:5" ht="21" customHeight="1">
      <c r="A15" s="240"/>
      <c r="B15" s="157"/>
      <c r="C15" s="157"/>
      <c r="D15" s="242"/>
      <c r="E15" s="95"/>
    </row>
    <row r="16" spans="1:5" ht="12.75">
      <c r="A16" s="214" t="s">
        <v>358</v>
      </c>
      <c r="B16" s="157"/>
      <c r="C16" s="157"/>
      <c r="D16" s="242"/>
      <c r="E16" s="79"/>
    </row>
    <row r="17" spans="1:5" ht="12.75">
      <c r="A17" s="214" t="s">
        <v>363</v>
      </c>
      <c r="B17" s="205"/>
      <c r="C17" s="205"/>
      <c r="D17" s="242"/>
      <c r="E17" s="78"/>
    </row>
    <row r="18" spans="1:5" ht="12.75">
      <c r="A18" s="238" t="s">
        <v>364</v>
      </c>
      <c r="B18" s="215"/>
      <c r="C18" s="215"/>
      <c r="D18" s="242">
        <f>'DetSFPerf-3rd Qtr'!C157</f>
        <v>1630351.360000044</v>
      </c>
      <c r="E18" s="78"/>
    </row>
    <row r="19" spans="1:8" s="77" customFormat="1" ht="14.25">
      <c r="A19" s="238" t="s">
        <v>517</v>
      </c>
      <c r="B19" s="215"/>
      <c r="C19" s="215"/>
      <c r="D19" s="242"/>
      <c r="E19" s="78"/>
      <c r="F19" s="76"/>
      <c r="G19" s="76"/>
      <c r="H19" s="76"/>
    </row>
    <row r="20" spans="1:8" s="77" customFormat="1" ht="14.25">
      <c r="A20" s="238" t="s">
        <v>518</v>
      </c>
      <c r="B20" s="215"/>
      <c r="C20" s="215"/>
      <c r="D20" s="242">
        <v>0</v>
      </c>
      <c r="E20" s="87"/>
      <c r="F20" s="76"/>
      <c r="G20" s="76"/>
      <c r="H20" s="76"/>
    </row>
    <row r="21" spans="1:8" s="77" customFormat="1" ht="12.75">
      <c r="A21" s="213"/>
      <c r="B21" s="215"/>
      <c r="C21" s="215"/>
      <c r="D21" s="237"/>
      <c r="E21" s="16"/>
      <c r="F21" s="76"/>
      <c r="G21" s="76"/>
      <c r="H21" s="76"/>
    </row>
    <row r="22" spans="1:8" s="77" customFormat="1" ht="13.5" thickBot="1">
      <c r="A22" s="214" t="s">
        <v>634</v>
      </c>
      <c r="B22" s="205"/>
      <c r="C22" s="205"/>
      <c r="D22" s="224">
        <f>+D14+D18+D19</f>
        <v>81348304.24000004</v>
      </c>
      <c r="E22" s="88"/>
      <c r="F22" s="76"/>
      <c r="G22" s="76"/>
      <c r="H22" s="76"/>
    </row>
    <row r="23" spans="1:8" s="77" customFormat="1" ht="13.5" thickTop="1">
      <c r="A23" s="16"/>
      <c r="C23" s="1"/>
      <c r="D23" s="89">
        <f>+D22-'DetSFP-3rd Qtr'!F122</f>
        <v>53235758.93000004</v>
      </c>
      <c r="E23" s="88"/>
      <c r="F23" s="76"/>
      <c r="G23" s="76"/>
      <c r="H23" s="76"/>
    </row>
    <row r="24" ht="12.75">
      <c r="E24" s="78"/>
    </row>
    <row r="25" ht="12.75">
      <c r="E25" s="78"/>
    </row>
    <row r="26" spans="1:4" ht="12.75">
      <c r="A26" s="16" t="s">
        <v>25</v>
      </c>
      <c r="B26" s="77"/>
      <c r="D26" s="1" t="s">
        <v>55</v>
      </c>
    </row>
    <row r="27" spans="1:4" ht="12.75">
      <c r="A27" s="16"/>
      <c r="B27" s="77"/>
      <c r="C27" s="99"/>
      <c r="D27" s="99"/>
    </row>
    <row r="28" spans="1:4" ht="12.75">
      <c r="A28" s="16"/>
      <c r="B28" s="77"/>
      <c r="C28" s="100"/>
      <c r="D28" s="100"/>
    </row>
    <row r="29" spans="1:4" ht="12.75">
      <c r="A29" s="17" t="s">
        <v>222</v>
      </c>
      <c r="B29" s="77"/>
      <c r="D29" s="20" t="s">
        <v>628</v>
      </c>
    </row>
    <row r="30" spans="1:4" ht="12.75">
      <c r="A30" s="16" t="s">
        <v>630</v>
      </c>
      <c r="B30" s="77"/>
      <c r="D30" s="1" t="s">
        <v>629</v>
      </c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00390625" style="77" customWidth="1"/>
    <col min="2" max="2" width="4.8515625" style="77" customWidth="1"/>
    <col min="3" max="3" width="69.421875" style="77" customWidth="1"/>
    <col min="4" max="4" width="19.00390625" style="77" customWidth="1"/>
    <col min="5" max="5" width="17.421875" style="89" hidden="1" customWidth="1"/>
    <col min="6" max="6" width="15.140625" style="89" hidden="1" customWidth="1"/>
    <col min="7" max="7" width="14.00390625" style="89" hidden="1" customWidth="1"/>
    <col min="8" max="8" width="9.140625" style="77" customWidth="1"/>
    <col min="9" max="9" width="14.00390625" style="77" bestFit="1" customWidth="1"/>
    <col min="10" max="16384" width="9.140625" style="77" customWidth="1"/>
  </cols>
  <sheetData>
    <row r="1" spans="1:5" ht="15">
      <c r="A1" s="555" t="s">
        <v>1</v>
      </c>
      <c r="B1" s="555"/>
      <c r="C1" s="555"/>
      <c r="D1" s="555"/>
      <c r="E1" s="555"/>
    </row>
    <row r="2" spans="1:5" ht="12.75">
      <c r="A2" s="551" t="s">
        <v>96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">
        <v>633</v>
      </c>
      <c r="B4" s="552"/>
      <c r="C4" s="552"/>
      <c r="D4" s="552"/>
      <c r="E4" s="552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94" t="s">
        <v>365</v>
      </c>
      <c r="B7" s="194"/>
      <c r="C7" s="194"/>
      <c r="D7" s="199"/>
    </row>
    <row r="8" spans="1:4" ht="12.75">
      <c r="A8" s="194"/>
      <c r="B8" s="194"/>
      <c r="C8" s="194"/>
      <c r="D8" s="199"/>
    </row>
    <row r="9" spans="1:5" ht="12.75">
      <c r="A9" s="195" t="s">
        <v>366</v>
      </c>
      <c r="B9" s="194"/>
      <c r="C9" s="194"/>
      <c r="D9" s="199"/>
      <c r="E9" s="93"/>
    </row>
    <row r="10" spans="1:5" ht="12.75">
      <c r="A10" s="200"/>
      <c r="B10" s="201" t="s">
        <v>367</v>
      </c>
      <c r="C10" s="201"/>
      <c r="D10" s="223">
        <f>+D11+D12</f>
        <v>111769385</v>
      </c>
      <c r="E10" s="93"/>
    </row>
    <row r="11" spans="1:5" ht="12.75">
      <c r="A11" s="200"/>
      <c r="B11" s="201"/>
      <c r="C11" s="201" t="s">
        <v>367</v>
      </c>
      <c r="D11" s="227">
        <v>20739292</v>
      </c>
      <c r="E11" s="93"/>
    </row>
    <row r="12" spans="1:5" ht="12.75">
      <c r="A12" s="200"/>
      <c r="B12" s="201"/>
      <c r="C12" s="201" t="s">
        <v>368</v>
      </c>
      <c r="D12" s="227">
        <v>91030093</v>
      </c>
      <c r="E12" s="93"/>
    </row>
    <row r="13" spans="1:5" ht="12.75">
      <c r="A13" s="200"/>
      <c r="B13" s="201"/>
      <c r="C13" s="201" t="s">
        <v>369</v>
      </c>
      <c r="D13" s="227">
        <f>233908.5</f>
        <v>233908.5</v>
      </c>
      <c r="E13" s="93"/>
    </row>
    <row r="14" spans="1:5" ht="12.75">
      <c r="A14" s="200"/>
      <c r="B14" s="201"/>
      <c r="C14" s="201" t="s">
        <v>371</v>
      </c>
      <c r="D14" s="223">
        <v>19164.58</v>
      </c>
      <c r="E14" s="93"/>
    </row>
    <row r="15" spans="1:5" ht="12.75">
      <c r="A15" s="209" t="s">
        <v>97</v>
      </c>
      <c r="B15" s="210"/>
      <c r="C15" s="195"/>
      <c r="D15" s="230">
        <f>SUM(D11:D14)</f>
        <v>112022458.08</v>
      </c>
      <c r="E15" s="93"/>
    </row>
    <row r="16" spans="1:5" ht="12.75">
      <c r="A16" s="195"/>
      <c r="B16" s="194"/>
      <c r="C16" s="194"/>
      <c r="D16" s="227"/>
      <c r="E16" s="93"/>
    </row>
    <row r="17" spans="1:7" ht="12.75">
      <c r="A17" s="195" t="s">
        <v>372</v>
      </c>
      <c r="B17" s="194"/>
      <c r="C17" s="194"/>
      <c r="D17" s="227"/>
      <c r="E17" s="93" t="s">
        <v>549</v>
      </c>
      <c r="F17" s="89" t="s">
        <v>550</v>
      </c>
      <c r="G17" s="89" t="s">
        <v>551</v>
      </c>
    </row>
    <row r="18" spans="1:5" ht="12.75">
      <c r="A18" s="200"/>
      <c r="B18" s="201" t="s">
        <v>373</v>
      </c>
      <c r="C18" s="201"/>
      <c r="D18" s="227"/>
      <c r="E18" s="93"/>
    </row>
    <row r="19" spans="1:7" ht="12.75">
      <c r="A19" s="200"/>
      <c r="B19" s="201"/>
      <c r="C19" s="201" t="s">
        <v>374</v>
      </c>
      <c r="D19" s="227">
        <v>2850923.14</v>
      </c>
      <c r="E19" s="93">
        <f>1753445.71+10072.91</f>
        <v>1763518.6199999999</v>
      </c>
      <c r="F19" s="89">
        <v>2226610.48</v>
      </c>
      <c r="G19" s="89">
        <v>1991580.55</v>
      </c>
    </row>
    <row r="20" spans="1:7" ht="12.75">
      <c r="A20" s="200"/>
      <c r="B20" s="201"/>
      <c r="C20" s="201" t="s">
        <v>375</v>
      </c>
      <c r="D20" s="227">
        <f>107832438.88+15000</f>
        <v>107847438.88</v>
      </c>
      <c r="E20" s="93">
        <f>4957291.36-E19-E21-E35-E51-E53</f>
        <v>2567221.2</v>
      </c>
      <c r="F20" s="89">
        <f>11618620.31-F19-F21-F33-F35-F51-F53</f>
        <v>8438471.1</v>
      </c>
      <c r="G20" s="89">
        <f>36754844.75-G19-G21-G33-G35-G51-G53</f>
        <v>33416304.370000005</v>
      </c>
    </row>
    <row r="21" spans="1:7" ht="12.75">
      <c r="A21" s="200"/>
      <c r="B21" s="201"/>
      <c r="C21" s="201" t="s">
        <v>376</v>
      </c>
      <c r="D21" s="227">
        <v>300</v>
      </c>
      <c r="E21" s="93">
        <v>150</v>
      </c>
      <c r="F21" s="89">
        <v>400</v>
      </c>
      <c r="G21" s="89">
        <v>50</v>
      </c>
    </row>
    <row r="22" spans="1:4" ht="12.75" hidden="1">
      <c r="A22" s="200"/>
      <c r="B22" s="201" t="s">
        <v>377</v>
      </c>
      <c r="C22" s="201"/>
      <c r="D22" s="227"/>
    </row>
    <row r="23" spans="1:4" ht="12.75" hidden="1">
      <c r="A23" s="200"/>
      <c r="B23" s="201"/>
      <c r="C23" s="208" t="s">
        <v>378</v>
      </c>
      <c r="D23" s="227"/>
    </row>
    <row r="24" spans="1:4" ht="12.75" hidden="1">
      <c r="A24" s="200"/>
      <c r="B24" s="201"/>
      <c r="C24" s="208" t="s">
        <v>379</v>
      </c>
      <c r="D24" s="227"/>
    </row>
    <row r="25" spans="1:4" ht="12.75" hidden="1">
      <c r="A25" s="200"/>
      <c r="B25" s="201"/>
      <c r="C25" s="208" t="s">
        <v>380</v>
      </c>
      <c r="D25" s="227"/>
    </row>
    <row r="26" spans="1:4" ht="12.75" hidden="1">
      <c r="A26" s="200"/>
      <c r="B26" s="201"/>
      <c r="C26" s="208" t="s">
        <v>381</v>
      </c>
      <c r="D26" s="227"/>
    </row>
    <row r="27" spans="1:4" ht="12.75" hidden="1">
      <c r="A27" s="200"/>
      <c r="B27" s="192" t="s">
        <v>382</v>
      </c>
      <c r="C27" s="208"/>
      <c r="D27" s="227"/>
    </row>
    <row r="28" spans="1:4" ht="12.75" hidden="1">
      <c r="A28" s="200"/>
      <c r="B28" s="192"/>
      <c r="C28" s="208" t="s">
        <v>383</v>
      </c>
      <c r="D28" s="227"/>
    </row>
    <row r="29" spans="1:4" ht="12.75" hidden="1">
      <c r="A29" s="200"/>
      <c r="B29" s="192"/>
      <c r="C29" s="208" t="s">
        <v>384</v>
      </c>
      <c r="D29" s="227"/>
    </row>
    <row r="30" spans="1:4" ht="12.75" hidden="1">
      <c r="A30" s="200"/>
      <c r="B30" s="192"/>
      <c r="C30" s="208" t="s">
        <v>385</v>
      </c>
      <c r="D30" s="227"/>
    </row>
    <row r="31" spans="1:4" ht="12.75" hidden="1">
      <c r="A31" s="200"/>
      <c r="B31" s="192"/>
      <c r="C31" s="208" t="s">
        <v>386</v>
      </c>
      <c r="D31" s="227"/>
    </row>
    <row r="32" spans="1:4" ht="12.75">
      <c r="A32" s="200"/>
      <c r="B32" s="201" t="s">
        <v>387</v>
      </c>
      <c r="C32" s="192"/>
      <c r="D32" s="227"/>
    </row>
    <row r="33" spans="1:7" ht="12.75">
      <c r="A33" s="200"/>
      <c r="B33" s="201"/>
      <c r="C33" s="192" t="s">
        <v>388</v>
      </c>
      <c r="D33" s="227">
        <v>214720</v>
      </c>
      <c r="F33" s="89">
        <v>4287</v>
      </c>
      <c r="G33" s="89">
        <v>123060</v>
      </c>
    </row>
    <row r="34" spans="1:4" ht="12.75">
      <c r="A34" s="200"/>
      <c r="B34" s="201"/>
      <c r="C34" s="192" t="s">
        <v>389</v>
      </c>
      <c r="D34" s="227"/>
    </row>
    <row r="35" spans="1:7" ht="12.75">
      <c r="A35" s="200"/>
      <c r="B35" s="201"/>
      <c r="C35" s="192" t="s">
        <v>201</v>
      </c>
      <c r="D35" s="227"/>
      <c r="E35" s="89">
        <v>432000</v>
      </c>
      <c r="F35" s="89">
        <v>361000</v>
      </c>
      <c r="G35" s="89">
        <v>718000</v>
      </c>
    </row>
    <row r="36" spans="1:4" ht="12.75">
      <c r="A36" s="200"/>
      <c r="B36" s="201"/>
      <c r="C36" s="192" t="s">
        <v>390</v>
      </c>
      <c r="D36" s="227">
        <v>10170</v>
      </c>
    </row>
    <row r="37" spans="1:4" ht="12.75" hidden="1">
      <c r="A37" s="200"/>
      <c r="B37" s="201" t="s">
        <v>311</v>
      </c>
      <c r="C37" s="208"/>
      <c r="D37" s="227"/>
    </row>
    <row r="38" spans="1:4" ht="12.75" hidden="1">
      <c r="A38" s="200"/>
      <c r="B38" s="201"/>
      <c r="C38" s="208" t="s">
        <v>391</v>
      </c>
      <c r="D38" s="227"/>
    </row>
    <row r="39" spans="1:4" ht="12.75" hidden="1">
      <c r="A39" s="200"/>
      <c r="B39" s="201"/>
      <c r="C39" s="192" t="s">
        <v>52</v>
      </c>
      <c r="D39" s="227"/>
    </row>
    <row r="40" spans="1:4" ht="12.75" hidden="1">
      <c r="A40" s="200"/>
      <c r="B40" s="201"/>
      <c r="C40" s="192" t="s">
        <v>312</v>
      </c>
      <c r="D40" s="227"/>
    </row>
    <row r="41" spans="1:4" ht="12.75" hidden="1">
      <c r="A41" s="200"/>
      <c r="B41" s="201"/>
      <c r="C41" s="192" t="s">
        <v>313</v>
      </c>
      <c r="D41" s="227"/>
    </row>
    <row r="42" spans="1:4" ht="12.75" hidden="1">
      <c r="A42" s="200"/>
      <c r="B42" s="201"/>
      <c r="C42" s="192" t="s">
        <v>314</v>
      </c>
      <c r="D42" s="227"/>
    </row>
    <row r="43" spans="1:4" ht="12.75" hidden="1">
      <c r="A43" s="200"/>
      <c r="B43" s="201"/>
      <c r="C43" s="192" t="s">
        <v>315</v>
      </c>
      <c r="D43" s="227"/>
    </row>
    <row r="44" spans="1:4" ht="12.75" hidden="1">
      <c r="A44" s="200"/>
      <c r="B44" s="208" t="s">
        <v>392</v>
      </c>
      <c r="C44" s="208"/>
      <c r="D44" s="227"/>
    </row>
    <row r="45" spans="1:4" ht="12.75" hidden="1">
      <c r="A45" s="200"/>
      <c r="B45" s="208"/>
      <c r="C45" s="208" t="s">
        <v>393</v>
      </c>
      <c r="D45" s="227"/>
    </row>
    <row r="46" spans="1:4" ht="12.75" hidden="1">
      <c r="A46" s="200"/>
      <c r="B46" s="208"/>
      <c r="C46" s="192" t="s">
        <v>394</v>
      </c>
      <c r="D46" s="227"/>
    </row>
    <row r="47" spans="1:4" ht="12.75" hidden="1">
      <c r="A47" s="200"/>
      <c r="B47" s="208"/>
      <c r="C47" s="208" t="s">
        <v>395</v>
      </c>
      <c r="D47" s="227"/>
    </row>
    <row r="48" spans="1:4" ht="12.75">
      <c r="A48" s="163"/>
      <c r="B48" s="192" t="s">
        <v>396</v>
      </c>
      <c r="C48" s="192"/>
      <c r="D48" s="227"/>
    </row>
    <row r="49" spans="1:4" ht="12.75">
      <c r="A49" s="163"/>
      <c r="B49" s="192" t="s">
        <v>397</v>
      </c>
      <c r="C49" s="192"/>
      <c r="D49" s="227"/>
    </row>
    <row r="50" spans="1:4" ht="12.75">
      <c r="A50" s="163"/>
      <c r="B50" s="192"/>
      <c r="C50" s="192" t="s">
        <v>398</v>
      </c>
      <c r="D50" s="227"/>
    </row>
    <row r="51" spans="1:7" ht="12.75">
      <c r="A51" s="163"/>
      <c r="B51" s="192"/>
      <c r="C51" s="192" t="s">
        <v>399</v>
      </c>
      <c r="D51" s="227">
        <v>486637.4</v>
      </c>
      <c r="E51" s="89">
        <v>97778.68</v>
      </c>
      <c r="F51" s="89">
        <v>389128.96</v>
      </c>
      <c r="G51" s="89">
        <v>405018.95</v>
      </c>
    </row>
    <row r="52" spans="1:4" ht="12.75">
      <c r="A52" s="163"/>
      <c r="B52" s="192"/>
      <c r="C52" s="192" t="s">
        <v>400</v>
      </c>
      <c r="D52" s="227">
        <v>378360.16</v>
      </c>
    </row>
    <row r="53" spans="1:7" ht="12.75">
      <c r="A53" s="163"/>
      <c r="B53" s="192"/>
      <c r="C53" s="192" t="s">
        <v>401</v>
      </c>
      <c r="D53" s="223"/>
      <c r="E53" s="147">
        <v>96622.86</v>
      </c>
      <c r="F53" s="147">
        <v>198722.77</v>
      </c>
      <c r="G53" s="147">
        <v>100830.88</v>
      </c>
    </row>
    <row r="54" spans="1:4" ht="12.75" hidden="1">
      <c r="A54" s="163"/>
      <c r="B54" s="192" t="s">
        <v>402</v>
      </c>
      <c r="C54" s="192"/>
      <c r="D54" s="227"/>
    </row>
    <row r="55" spans="1:4" ht="12.75" hidden="1">
      <c r="A55" s="163"/>
      <c r="B55" s="192"/>
      <c r="C55" s="192" t="s">
        <v>403</v>
      </c>
      <c r="D55" s="227"/>
    </row>
    <row r="56" spans="1:4" ht="12.75" hidden="1">
      <c r="A56" s="163"/>
      <c r="B56" s="192"/>
      <c r="C56" s="192" t="s">
        <v>404</v>
      </c>
      <c r="D56" s="227"/>
    </row>
    <row r="57" spans="1:4" ht="12.75" hidden="1">
      <c r="A57" s="163"/>
      <c r="B57" s="192"/>
      <c r="C57" s="192" t="s">
        <v>405</v>
      </c>
      <c r="D57" s="227"/>
    </row>
    <row r="58" spans="1:4" ht="12.75" hidden="1">
      <c r="A58" s="163"/>
      <c r="B58" s="192"/>
      <c r="C58" s="192" t="s">
        <v>406</v>
      </c>
      <c r="D58" s="227"/>
    </row>
    <row r="59" spans="1:4" ht="12.75" hidden="1">
      <c r="A59" s="163"/>
      <c r="B59" s="192"/>
      <c r="C59" s="192" t="s">
        <v>407</v>
      </c>
      <c r="D59" s="227"/>
    </row>
    <row r="60" spans="1:4" ht="12.75" hidden="1">
      <c r="A60" s="163"/>
      <c r="B60" s="192" t="s">
        <v>408</v>
      </c>
      <c r="C60" s="192"/>
      <c r="D60" s="227"/>
    </row>
    <row r="61" spans="1:4" ht="12.75" hidden="1">
      <c r="A61" s="163"/>
      <c r="B61" s="192"/>
      <c r="C61" s="201" t="s">
        <v>409</v>
      </c>
      <c r="D61" s="227"/>
    </row>
    <row r="62" spans="1:4" ht="12.75" hidden="1">
      <c r="A62" s="163"/>
      <c r="B62" s="192"/>
      <c r="C62" s="192" t="s">
        <v>410</v>
      </c>
      <c r="D62" s="227"/>
    </row>
    <row r="63" spans="1:4" ht="12.75" hidden="1">
      <c r="A63" s="163"/>
      <c r="B63" s="192"/>
      <c r="C63" s="192" t="s">
        <v>411</v>
      </c>
      <c r="D63" s="227"/>
    </row>
    <row r="64" spans="1:4" ht="12.75" hidden="1">
      <c r="A64" s="163"/>
      <c r="B64" s="192"/>
      <c r="C64" s="192" t="s">
        <v>412</v>
      </c>
      <c r="D64" s="227"/>
    </row>
    <row r="65" spans="1:4" ht="12.75" hidden="1">
      <c r="A65" s="163"/>
      <c r="B65" s="192" t="s">
        <v>413</v>
      </c>
      <c r="C65" s="192"/>
      <c r="D65" s="227"/>
    </row>
    <row r="66" spans="1:4" ht="12.75" hidden="1">
      <c r="A66" s="163"/>
      <c r="B66" s="192"/>
      <c r="C66" s="192" t="s">
        <v>414</v>
      </c>
      <c r="D66" s="227"/>
    </row>
    <row r="67" spans="1:4" ht="12.75" hidden="1">
      <c r="A67" s="163"/>
      <c r="B67" s="192"/>
      <c r="C67" s="192" t="s">
        <v>415</v>
      </c>
      <c r="D67" s="227"/>
    </row>
    <row r="68" spans="1:4" ht="12.75" hidden="1">
      <c r="A68" s="163"/>
      <c r="B68" s="192"/>
      <c r="C68" s="192" t="s">
        <v>416</v>
      </c>
      <c r="D68" s="227"/>
    </row>
    <row r="69" spans="1:4" ht="12.75" hidden="1">
      <c r="A69" s="163"/>
      <c r="B69" s="192"/>
      <c r="C69" s="192" t="s">
        <v>417</v>
      </c>
      <c r="D69" s="227"/>
    </row>
    <row r="70" spans="1:4" ht="12.75" hidden="1">
      <c r="A70" s="200"/>
      <c r="B70" s="208" t="s">
        <v>418</v>
      </c>
      <c r="C70" s="201"/>
      <c r="D70" s="227"/>
    </row>
    <row r="71" spans="1:4" ht="12.75" hidden="1">
      <c r="A71" s="200"/>
      <c r="B71" s="208"/>
      <c r="C71" s="201" t="s">
        <v>419</v>
      </c>
      <c r="D71" s="227"/>
    </row>
    <row r="72" spans="1:4" ht="12.75" hidden="1">
      <c r="A72" s="200"/>
      <c r="B72" s="208"/>
      <c r="C72" s="201" t="s">
        <v>420</v>
      </c>
      <c r="D72" s="227"/>
    </row>
    <row r="73" spans="1:4" ht="12.75" hidden="1">
      <c r="A73" s="200"/>
      <c r="B73" s="208"/>
      <c r="C73" s="201" t="s">
        <v>421</v>
      </c>
      <c r="D73" s="227"/>
    </row>
    <row r="74" spans="1:4" ht="12.75" hidden="1">
      <c r="A74" s="200"/>
      <c r="B74" s="208"/>
      <c r="C74" s="201" t="s">
        <v>422</v>
      </c>
      <c r="D74" s="227"/>
    </row>
    <row r="75" spans="1:4" ht="12.75" hidden="1">
      <c r="A75" s="200"/>
      <c r="B75" s="208"/>
      <c r="C75" s="201" t="s">
        <v>423</v>
      </c>
      <c r="D75" s="227"/>
    </row>
    <row r="76" spans="1:4" ht="12.75" hidden="1">
      <c r="A76" s="200"/>
      <c r="B76" s="208"/>
      <c r="C76" s="201" t="s">
        <v>424</v>
      </c>
      <c r="D76" s="227"/>
    </row>
    <row r="77" spans="1:4" ht="12.75" hidden="1">
      <c r="A77" s="200"/>
      <c r="B77" s="208"/>
      <c r="C77" s="201" t="s">
        <v>425</v>
      </c>
      <c r="D77" s="227"/>
    </row>
    <row r="78" spans="1:4" ht="12.75" hidden="1">
      <c r="A78" s="200"/>
      <c r="B78" s="211" t="s">
        <v>426</v>
      </c>
      <c r="C78" s="206"/>
      <c r="D78" s="228"/>
    </row>
    <row r="79" spans="1:4" ht="12.75" hidden="1">
      <c r="A79" s="200"/>
      <c r="B79" s="208" t="s">
        <v>371</v>
      </c>
      <c r="C79" s="201"/>
      <c r="D79" s="223"/>
    </row>
    <row r="80" spans="1:4" ht="12.75" hidden="1">
      <c r="A80" s="200"/>
      <c r="B80" s="196"/>
      <c r="C80" s="197" t="s">
        <v>427</v>
      </c>
      <c r="D80" s="227" t="s">
        <v>355</v>
      </c>
    </row>
    <row r="81" spans="1:4" ht="12.75" hidden="1">
      <c r="A81" s="200"/>
      <c r="B81" s="196"/>
      <c r="C81" s="197" t="s">
        <v>428</v>
      </c>
      <c r="D81" s="227" t="s">
        <v>355</v>
      </c>
    </row>
    <row r="82" spans="1:4" ht="12.75" hidden="1">
      <c r="A82" s="200"/>
      <c r="B82" s="196"/>
      <c r="C82" s="197" t="s">
        <v>429</v>
      </c>
      <c r="D82" s="227" t="s">
        <v>355</v>
      </c>
    </row>
    <row r="83" spans="1:4" ht="12.75" hidden="1">
      <c r="A83" s="200"/>
      <c r="B83" s="196"/>
      <c r="C83" s="197" t="s">
        <v>430</v>
      </c>
      <c r="D83" s="227" t="s">
        <v>355</v>
      </c>
    </row>
    <row r="84" spans="1:4" ht="12.75" hidden="1">
      <c r="A84" s="200"/>
      <c r="B84" s="196"/>
      <c r="C84" s="197" t="s">
        <v>431</v>
      </c>
      <c r="D84" s="227" t="s">
        <v>355</v>
      </c>
    </row>
    <row r="85" spans="1:7" ht="12.75">
      <c r="A85" s="199"/>
      <c r="B85" s="204" t="s">
        <v>99</v>
      </c>
      <c r="C85" s="194"/>
      <c r="D85" s="230">
        <f>SUM(D19:D84)</f>
        <v>111788549.58</v>
      </c>
      <c r="E85" s="89">
        <f>SUM(E19:E84)</f>
        <v>4957291.36</v>
      </c>
      <c r="F85" s="89">
        <f>SUM(F19:F84)</f>
        <v>11618620.31</v>
      </c>
      <c r="G85" s="89">
        <f>SUM(G19:G84)</f>
        <v>36754844.75000001</v>
      </c>
    </row>
    <row r="86" spans="1:4" ht="12.75">
      <c r="A86" s="212"/>
      <c r="B86" s="197"/>
      <c r="C86" s="197"/>
      <c r="D86" s="227"/>
    </row>
    <row r="87" spans="1:4" ht="12.75">
      <c r="A87" s="198" t="s">
        <v>432</v>
      </c>
      <c r="B87" s="194"/>
      <c r="C87" s="194"/>
      <c r="D87" s="223">
        <f>+D15-D85</f>
        <v>233908.5</v>
      </c>
    </row>
    <row r="88" spans="1:4" ht="12.75">
      <c r="A88" s="198"/>
      <c r="B88" s="194"/>
      <c r="C88" s="194"/>
      <c r="D88" s="227"/>
    </row>
    <row r="89" spans="1:4" ht="12.75" hidden="1">
      <c r="A89" s="198" t="s">
        <v>433</v>
      </c>
      <c r="B89" s="194"/>
      <c r="C89" s="194"/>
      <c r="D89" s="227"/>
    </row>
    <row r="90" spans="1:4" ht="12.75" hidden="1">
      <c r="A90" s="198"/>
      <c r="B90" s="194"/>
      <c r="C90" s="194"/>
      <c r="D90" s="227"/>
    </row>
    <row r="91" spans="1:4" ht="12.75" hidden="1">
      <c r="A91" s="204" t="s">
        <v>366</v>
      </c>
      <c r="B91" s="194"/>
      <c r="C91" s="194"/>
      <c r="D91" s="227">
        <v>0</v>
      </c>
    </row>
    <row r="92" spans="1:4" ht="12.75" hidden="1">
      <c r="A92" s="200"/>
      <c r="B92" s="201" t="s">
        <v>434</v>
      </c>
      <c r="C92" s="197"/>
      <c r="D92" s="227" t="s">
        <v>355</v>
      </c>
    </row>
    <row r="93" spans="1:4" ht="12.75" hidden="1">
      <c r="A93" s="200"/>
      <c r="B93" s="201" t="s">
        <v>435</v>
      </c>
      <c r="C93" s="197"/>
      <c r="D93" s="227" t="s">
        <v>355</v>
      </c>
    </row>
    <row r="94" spans="1:4" ht="12.75" hidden="1">
      <c r="A94" s="200"/>
      <c r="B94" s="201" t="s">
        <v>436</v>
      </c>
      <c r="C94" s="197"/>
      <c r="D94" s="227" t="s">
        <v>355</v>
      </c>
    </row>
    <row r="95" spans="1:4" ht="12.75" hidden="1">
      <c r="A95" s="200"/>
      <c r="B95" s="207"/>
      <c r="C95" s="197" t="s">
        <v>437</v>
      </c>
      <c r="D95" s="227" t="s">
        <v>355</v>
      </c>
    </row>
    <row r="96" spans="1:4" ht="12.75" hidden="1">
      <c r="A96" s="200"/>
      <c r="B96" s="207"/>
      <c r="C96" s="197" t="s">
        <v>438</v>
      </c>
      <c r="D96" s="227" t="s">
        <v>355</v>
      </c>
    </row>
    <row r="97" spans="1:4" ht="12.75" hidden="1">
      <c r="A97" s="200"/>
      <c r="B97" s="207"/>
      <c r="C97" s="197" t="s">
        <v>439</v>
      </c>
      <c r="D97" s="227" t="s">
        <v>355</v>
      </c>
    </row>
    <row r="98" spans="1:4" ht="12.75" hidden="1">
      <c r="A98" s="200"/>
      <c r="B98" s="207"/>
      <c r="C98" s="197" t="s">
        <v>440</v>
      </c>
      <c r="D98" s="227" t="s">
        <v>355</v>
      </c>
    </row>
    <row r="99" spans="1:4" ht="12.75" hidden="1">
      <c r="A99" s="200"/>
      <c r="B99" s="201" t="s">
        <v>441</v>
      </c>
      <c r="C99" s="197"/>
      <c r="D99" s="227" t="s">
        <v>355</v>
      </c>
    </row>
    <row r="100" spans="1:4" ht="12.75" hidden="1">
      <c r="A100" s="200"/>
      <c r="B100" s="201" t="s">
        <v>442</v>
      </c>
      <c r="C100" s="197"/>
      <c r="D100" s="227" t="s">
        <v>355</v>
      </c>
    </row>
    <row r="101" spans="1:4" ht="12.75" hidden="1">
      <c r="A101" s="200"/>
      <c r="B101" s="207"/>
      <c r="C101" s="197" t="s">
        <v>443</v>
      </c>
      <c r="D101" s="227" t="s">
        <v>355</v>
      </c>
    </row>
    <row r="102" spans="1:4" ht="12.75" hidden="1">
      <c r="A102" s="200"/>
      <c r="B102" s="207"/>
      <c r="C102" s="197" t="s">
        <v>444</v>
      </c>
      <c r="D102" s="227" t="s">
        <v>355</v>
      </c>
    </row>
    <row r="103" spans="1:4" ht="12.75" hidden="1">
      <c r="A103" s="200"/>
      <c r="B103" s="207"/>
      <c r="C103" s="197" t="s">
        <v>445</v>
      </c>
      <c r="D103" s="227" t="s">
        <v>355</v>
      </c>
    </row>
    <row r="104" spans="1:4" ht="12.75" hidden="1">
      <c r="A104" s="200"/>
      <c r="B104" s="207"/>
      <c r="C104" s="197" t="s">
        <v>446</v>
      </c>
      <c r="D104" s="227" t="s">
        <v>355</v>
      </c>
    </row>
    <row r="105" spans="1:4" ht="12.75" hidden="1">
      <c r="A105" s="200"/>
      <c r="B105" s="201" t="s">
        <v>447</v>
      </c>
      <c r="C105" s="197"/>
      <c r="D105" s="227" t="s">
        <v>355</v>
      </c>
    </row>
    <row r="106" spans="1:4" ht="12.75" hidden="1">
      <c r="A106" s="200"/>
      <c r="B106" s="201"/>
      <c r="C106" s="197" t="s">
        <v>448</v>
      </c>
      <c r="D106" s="227" t="s">
        <v>355</v>
      </c>
    </row>
    <row r="107" spans="1:4" ht="12.75" hidden="1">
      <c r="A107" s="200"/>
      <c r="B107" s="201"/>
      <c r="C107" s="197" t="s">
        <v>449</v>
      </c>
      <c r="D107" s="227" t="s">
        <v>355</v>
      </c>
    </row>
    <row r="108" spans="1:4" ht="12.75" hidden="1">
      <c r="A108" s="200"/>
      <c r="B108" s="201" t="s">
        <v>450</v>
      </c>
      <c r="C108" s="197"/>
      <c r="D108" s="227" t="s">
        <v>355</v>
      </c>
    </row>
    <row r="109" spans="1:4" ht="12.75" hidden="1">
      <c r="A109" s="200"/>
      <c r="B109" s="208" t="s">
        <v>371</v>
      </c>
      <c r="C109" s="201"/>
      <c r="D109" s="223" t="s">
        <v>355</v>
      </c>
    </row>
    <row r="110" spans="1:4" ht="12.75" hidden="1">
      <c r="A110" s="209" t="s">
        <v>97</v>
      </c>
      <c r="B110" s="194"/>
      <c r="C110" s="194"/>
      <c r="D110" s="229">
        <f>+D91</f>
        <v>0</v>
      </c>
    </row>
    <row r="111" spans="1:4" ht="12.75" hidden="1">
      <c r="A111" s="209"/>
      <c r="B111" s="194"/>
      <c r="C111" s="194"/>
      <c r="D111" s="222"/>
    </row>
    <row r="112" spans="1:4" ht="12.75" hidden="1">
      <c r="A112" s="195" t="s">
        <v>372</v>
      </c>
      <c r="B112" s="194"/>
      <c r="C112" s="194"/>
      <c r="D112" s="227"/>
    </row>
    <row r="113" spans="1:4" ht="12.75" hidden="1">
      <c r="A113" s="200"/>
      <c r="B113" s="201" t="s">
        <v>451</v>
      </c>
      <c r="C113" s="197"/>
      <c r="D113" s="227" t="s">
        <v>355</v>
      </c>
    </row>
    <row r="114" spans="1:4" ht="12.75" hidden="1">
      <c r="A114" s="200"/>
      <c r="B114" s="201" t="s">
        <v>452</v>
      </c>
      <c r="C114" s="197"/>
      <c r="D114" s="227" t="s">
        <v>355</v>
      </c>
    </row>
    <row r="115" spans="1:4" ht="12.75" hidden="1">
      <c r="A115" s="200"/>
      <c r="B115" s="207"/>
      <c r="C115" s="197" t="s">
        <v>453</v>
      </c>
      <c r="D115" s="227" t="s">
        <v>355</v>
      </c>
    </row>
    <row r="116" spans="1:4" ht="12.75" hidden="1">
      <c r="A116" s="200"/>
      <c r="B116" s="207"/>
      <c r="C116" s="197" t="s">
        <v>454</v>
      </c>
      <c r="D116" s="227" t="s">
        <v>355</v>
      </c>
    </row>
    <row r="117" spans="1:4" ht="12.75" hidden="1">
      <c r="A117" s="200"/>
      <c r="B117" s="207"/>
      <c r="C117" s="197" t="s">
        <v>455</v>
      </c>
      <c r="D117" s="227" t="s">
        <v>355</v>
      </c>
    </row>
    <row r="118" spans="1:4" ht="12.75" hidden="1">
      <c r="A118" s="200"/>
      <c r="B118" s="207"/>
      <c r="C118" s="197" t="s">
        <v>456</v>
      </c>
      <c r="D118" s="227" t="s">
        <v>355</v>
      </c>
    </row>
    <row r="119" spans="1:4" ht="12.75" hidden="1">
      <c r="A119" s="200"/>
      <c r="B119" s="207"/>
      <c r="C119" s="197" t="s">
        <v>457</v>
      </c>
      <c r="D119" s="227"/>
    </row>
    <row r="120" spans="1:4" ht="12.75" hidden="1">
      <c r="A120" s="200"/>
      <c r="B120" s="207"/>
      <c r="C120" s="170" t="s">
        <v>458</v>
      </c>
      <c r="D120" s="227"/>
    </row>
    <row r="121" spans="1:4" ht="12.75" hidden="1">
      <c r="A121" s="200"/>
      <c r="B121" s="207"/>
      <c r="C121" s="196" t="s">
        <v>459</v>
      </c>
      <c r="D121" s="227"/>
    </row>
    <row r="122" spans="1:4" ht="12.75" hidden="1">
      <c r="A122" s="200"/>
      <c r="B122" s="207"/>
      <c r="C122" s="196" t="s">
        <v>519</v>
      </c>
      <c r="D122" s="227"/>
    </row>
    <row r="123" spans="1:4" ht="12.75" hidden="1">
      <c r="A123" s="200"/>
      <c r="B123" s="207"/>
      <c r="C123" s="170" t="s">
        <v>460</v>
      </c>
      <c r="D123" s="227" t="s">
        <v>355</v>
      </c>
    </row>
    <row r="124" spans="1:4" ht="12.75" hidden="1">
      <c r="A124" s="200"/>
      <c r="B124" s="207"/>
      <c r="C124" s="196" t="s">
        <v>461</v>
      </c>
      <c r="D124" s="227" t="s">
        <v>355</v>
      </c>
    </row>
    <row r="125" spans="1:4" ht="12.75" hidden="1">
      <c r="A125" s="200"/>
      <c r="B125" s="207"/>
      <c r="C125" s="170" t="s">
        <v>462</v>
      </c>
      <c r="D125" s="227" t="s">
        <v>355</v>
      </c>
    </row>
    <row r="126" spans="1:4" ht="12.75" hidden="1">
      <c r="A126" s="200"/>
      <c r="B126" s="207"/>
      <c r="C126" s="196" t="s">
        <v>463</v>
      </c>
      <c r="D126" s="227" t="s">
        <v>355</v>
      </c>
    </row>
    <row r="127" spans="1:4" ht="12.75" hidden="1">
      <c r="A127" s="200"/>
      <c r="B127" s="207"/>
      <c r="C127" s="170" t="s">
        <v>464</v>
      </c>
      <c r="D127" s="227" t="s">
        <v>355</v>
      </c>
    </row>
    <row r="128" spans="1:4" ht="12.75" hidden="1">
      <c r="A128" s="200"/>
      <c r="B128" s="207"/>
      <c r="C128" s="197" t="s">
        <v>465</v>
      </c>
      <c r="D128" s="227" t="s">
        <v>355</v>
      </c>
    </row>
    <row r="129" spans="1:4" ht="12.75" hidden="1">
      <c r="A129" s="200"/>
      <c r="B129" s="207"/>
      <c r="C129" s="197" t="s">
        <v>466</v>
      </c>
      <c r="D129" s="227" t="s">
        <v>355</v>
      </c>
    </row>
    <row r="130" spans="1:4" ht="12.75" hidden="1">
      <c r="A130" s="200"/>
      <c r="B130" s="207"/>
      <c r="C130" s="197" t="s">
        <v>467</v>
      </c>
      <c r="D130" s="227" t="s">
        <v>355</v>
      </c>
    </row>
    <row r="131" spans="1:4" ht="12.75" hidden="1">
      <c r="A131" s="200"/>
      <c r="B131" s="207"/>
      <c r="C131" s="197" t="s">
        <v>468</v>
      </c>
      <c r="D131" s="227" t="s">
        <v>355</v>
      </c>
    </row>
    <row r="132" spans="1:4" ht="12.75" hidden="1">
      <c r="A132" s="200"/>
      <c r="B132" s="207"/>
      <c r="C132" s="197" t="s">
        <v>469</v>
      </c>
      <c r="D132" s="227" t="s">
        <v>355</v>
      </c>
    </row>
    <row r="133" spans="1:4" ht="12.75" hidden="1">
      <c r="A133" s="200"/>
      <c r="B133" s="207"/>
      <c r="C133" s="197" t="s">
        <v>470</v>
      </c>
      <c r="D133" s="227" t="s">
        <v>355</v>
      </c>
    </row>
    <row r="134" spans="1:4" ht="12.75" hidden="1">
      <c r="A134" s="200"/>
      <c r="B134" s="207"/>
      <c r="C134" s="197" t="s">
        <v>471</v>
      </c>
      <c r="D134" s="227" t="s">
        <v>355</v>
      </c>
    </row>
    <row r="135" spans="1:4" ht="12.75" hidden="1">
      <c r="A135" s="200"/>
      <c r="B135" s="201" t="s">
        <v>302</v>
      </c>
      <c r="C135" s="197"/>
      <c r="D135" s="227" t="s">
        <v>355</v>
      </c>
    </row>
    <row r="136" spans="1:4" ht="12.75" hidden="1">
      <c r="A136" s="200"/>
      <c r="B136" s="207"/>
      <c r="C136" s="197" t="s">
        <v>472</v>
      </c>
      <c r="D136" s="227" t="s">
        <v>355</v>
      </c>
    </row>
    <row r="137" spans="1:4" ht="12.75" hidden="1">
      <c r="A137" s="200"/>
      <c r="B137" s="207"/>
      <c r="C137" s="197" t="s">
        <v>473</v>
      </c>
      <c r="D137" s="227" t="s">
        <v>355</v>
      </c>
    </row>
    <row r="138" spans="1:4" ht="12.75" hidden="1">
      <c r="A138" s="200"/>
      <c r="B138" s="207"/>
      <c r="C138" s="197" t="s">
        <v>474</v>
      </c>
      <c r="D138" s="227" t="s">
        <v>355</v>
      </c>
    </row>
    <row r="139" spans="1:4" ht="12.75" hidden="1">
      <c r="A139" s="200"/>
      <c r="B139" s="207"/>
      <c r="C139" s="197" t="s">
        <v>475</v>
      </c>
      <c r="D139" s="227" t="s">
        <v>355</v>
      </c>
    </row>
    <row r="140" spans="1:4" ht="12.75" hidden="1">
      <c r="A140" s="200"/>
      <c r="B140" s="207"/>
      <c r="C140" s="197" t="s">
        <v>476</v>
      </c>
      <c r="D140" s="227" t="s">
        <v>355</v>
      </c>
    </row>
    <row r="141" spans="1:4" ht="12.75" hidden="1">
      <c r="A141" s="200"/>
      <c r="B141" s="201" t="s">
        <v>477</v>
      </c>
      <c r="C141" s="197"/>
      <c r="D141" s="227" t="s">
        <v>355</v>
      </c>
    </row>
    <row r="142" spans="1:4" ht="12.75" hidden="1">
      <c r="A142" s="200"/>
      <c r="B142" s="201"/>
      <c r="C142" s="197" t="s">
        <v>478</v>
      </c>
      <c r="D142" s="227" t="s">
        <v>355</v>
      </c>
    </row>
    <row r="143" spans="1:4" ht="12.75" hidden="1">
      <c r="A143" s="200"/>
      <c r="B143" s="201"/>
      <c r="C143" s="197" t="s">
        <v>479</v>
      </c>
      <c r="D143" s="227" t="s">
        <v>355</v>
      </c>
    </row>
    <row r="144" spans="1:4" ht="12.75" hidden="1">
      <c r="A144" s="200"/>
      <c r="B144" s="201"/>
      <c r="C144" s="197" t="s">
        <v>480</v>
      </c>
      <c r="D144" s="227" t="s">
        <v>355</v>
      </c>
    </row>
    <row r="145" spans="1:4" ht="12.75" hidden="1">
      <c r="A145" s="200"/>
      <c r="B145" s="201"/>
      <c r="C145" s="197" t="s">
        <v>385</v>
      </c>
      <c r="D145" s="227" t="s">
        <v>355</v>
      </c>
    </row>
    <row r="146" spans="1:4" ht="12.75" hidden="1">
      <c r="A146" s="200"/>
      <c r="B146" s="201"/>
      <c r="C146" s="197" t="s">
        <v>481</v>
      </c>
      <c r="D146" s="227" t="s">
        <v>355</v>
      </c>
    </row>
    <row r="147" spans="1:4" ht="12.75" hidden="1">
      <c r="A147" s="200"/>
      <c r="B147" s="201" t="s">
        <v>482</v>
      </c>
      <c r="C147" s="197"/>
      <c r="D147" s="227" t="s">
        <v>355</v>
      </c>
    </row>
    <row r="148" spans="1:4" ht="12.75" hidden="1">
      <c r="A148" s="200"/>
      <c r="B148" s="201"/>
      <c r="C148" s="197" t="s">
        <v>483</v>
      </c>
      <c r="D148" s="227" t="s">
        <v>355</v>
      </c>
    </row>
    <row r="149" spans="1:4" ht="12.75" hidden="1">
      <c r="A149" s="200"/>
      <c r="B149" s="201"/>
      <c r="C149" s="197" t="s">
        <v>484</v>
      </c>
      <c r="D149" s="227" t="s">
        <v>355</v>
      </c>
    </row>
    <row r="150" spans="1:4" ht="12.75" hidden="1">
      <c r="A150" s="200"/>
      <c r="B150" s="201" t="s">
        <v>485</v>
      </c>
      <c r="C150" s="197"/>
      <c r="D150" s="227" t="s">
        <v>355</v>
      </c>
    </row>
    <row r="151" spans="1:4" ht="12.75" hidden="1">
      <c r="A151" s="200"/>
      <c r="B151" s="197"/>
      <c r="C151" s="197" t="s">
        <v>486</v>
      </c>
      <c r="D151" s="227" t="s">
        <v>355</v>
      </c>
    </row>
    <row r="152" spans="1:4" ht="12.75" hidden="1">
      <c r="A152" s="200"/>
      <c r="B152" s="197"/>
      <c r="C152" s="197" t="s">
        <v>487</v>
      </c>
      <c r="D152" s="227" t="s">
        <v>355</v>
      </c>
    </row>
    <row r="153" spans="1:4" ht="12.75" hidden="1">
      <c r="A153" s="200"/>
      <c r="B153" s="197"/>
      <c r="C153" s="197"/>
      <c r="D153" s="227"/>
    </row>
    <row r="154" spans="1:4" ht="12.75" hidden="1">
      <c r="A154" s="200"/>
      <c r="B154" s="208" t="s">
        <v>371</v>
      </c>
      <c r="C154" s="201"/>
      <c r="D154" s="223" t="s">
        <v>355</v>
      </c>
    </row>
    <row r="155" spans="1:4" ht="12.75" hidden="1">
      <c r="A155" s="209" t="s">
        <v>99</v>
      </c>
      <c r="B155" s="194"/>
      <c r="C155" s="194"/>
      <c r="D155" s="229">
        <f>SUM(D119:D154)</f>
        <v>0</v>
      </c>
    </row>
    <row r="156" spans="1:4" ht="12.75" hidden="1">
      <c r="A156" s="209"/>
      <c r="B156" s="194"/>
      <c r="C156" s="194"/>
      <c r="D156" s="227"/>
    </row>
    <row r="157" spans="1:4" ht="12.75">
      <c r="A157" s="198" t="s">
        <v>488</v>
      </c>
      <c r="B157" s="194"/>
      <c r="C157" s="194"/>
      <c r="D157" s="223">
        <f>+D110-D155</f>
        <v>0</v>
      </c>
    </row>
    <row r="158" spans="1:4" ht="12.75">
      <c r="A158" s="198"/>
      <c r="B158" s="194"/>
      <c r="C158" s="194"/>
      <c r="D158" s="227"/>
    </row>
    <row r="159" spans="1:4" ht="12.75" hidden="1">
      <c r="A159" s="194" t="s">
        <v>489</v>
      </c>
      <c r="B159" s="194"/>
      <c r="C159" s="194"/>
      <c r="D159" s="227">
        <v>0</v>
      </c>
    </row>
    <row r="160" spans="1:4" ht="12.75" hidden="1">
      <c r="A160" s="194"/>
      <c r="B160" s="194"/>
      <c r="C160" s="194"/>
      <c r="D160" s="227"/>
    </row>
    <row r="161" spans="1:4" ht="12.75" hidden="1">
      <c r="A161" s="195" t="s">
        <v>366</v>
      </c>
      <c r="B161" s="194"/>
      <c r="C161" s="194"/>
      <c r="D161" s="227"/>
    </row>
    <row r="162" spans="1:4" ht="12.75" hidden="1">
      <c r="A162" s="197"/>
      <c r="B162" s="201" t="s">
        <v>490</v>
      </c>
      <c r="C162" s="197"/>
      <c r="D162" s="227" t="s">
        <v>355</v>
      </c>
    </row>
    <row r="163" spans="1:4" ht="12.75" hidden="1">
      <c r="A163" s="197"/>
      <c r="B163" s="201"/>
      <c r="C163" s="197" t="s">
        <v>491</v>
      </c>
      <c r="D163" s="227" t="s">
        <v>355</v>
      </c>
    </row>
    <row r="164" spans="1:4" ht="12.75" hidden="1">
      <c r="A164" s="197"/>
      <c r="B164" s="201"/>
      <c r="C164" s="197" t="s">
        <v>492</v>
      </c>
      <c r="D164" s="227" t="s">
        <v>355</v>
      </c>
    </row>
    <row r="165" spans="1:4" ht="12.75" hidden="1">
      <c r="A165" s="200"/>
      <c r="B165" s="201" t="s">
        <v>493</v>
      </c>
      <c r="C165" s="197"/>
      <c r="D165" s="227" t="s">
        <v>355</v>
      </c>
    </row>
    <row r="166" spans="1:4" ht="12.75" hidden="1">
      <c r="A166" s="200"/>
      <c r="B166" s="197"/>
      <c r="C166" s="197" t="s">
        <v>494</v>
      </c>
      <c r="D166" s="227" t="s">
        <v>355</v>
      </c>
    </row>
    <row r="167" spans="1:4" ht="12.75" hidden="1">
      <c r="A167" s="200"/>
      <c r="B167" s="197"/>
      <c r="C167" s="197" t="s">
        <v>495</v>
      </c>
      <c r="D167" s="227" t="s">
        <v>355</v>
      </c>
    </row>
    <row r="168" spans="1:4" ht="12.75" hidden="1">
      <c r="A168" s="200"/>
      <c r="B168" s="197"/>
      <c r="C168" s="197" t="s">
        <v>496</v>
      </c>
      <c r="D168" s="227" t="s">
        <v>355</v>
      </c>
    </row>
    <row r="169" spans="1:4" ht="12.75" hidden="1">
      <c r="A169" s="200"/>
      <c r="B169" s="208" t="s">
        <v>371</v>
      </c>
      <c r="C169" s="201"/>
      <c r="D169" s="223" t="s">
        <v>355</v>
      </c>
    </row>
    <row r="170" spans="1:4" ht="12.75" hidden="1">
      <c r="A170" s="209" t="s">
        <v>97</v>
      </c>
      <c r="B170" s="194"/>
      <c r="C170" s="194"/>
      <c r="D170" s="229" t="s">
        <v>355</v>
      </c>
    </row>
    <row r="171" spans="1:4" ht="12.75" hidden="1">
      <c r="A171" s="209"/>
      <c r="B171" s="194"/>
      <c r="C171" s="194"/>
      <c r="D171" s="222"/>
    </row>
    <row r="172" spans="1:4" ht="12.75" hidden="1">
      <c r="A172" s="195" t="s">
        <v>372</v>
      </c>
      <c r="B172" s="194"/>
      <c r="C172" s="194"/>
      <c r="D172" s="227"/>
    </row>
    <row r="173" spans="1:4" ht="12.75" hidden="1">
      <c r="A173" s="200"/>
      <c r="B173" s="201" t="s">
        <v>497</v>
      </c>
      <c r="C173" s="197"/>
      <c r="D173" s="227" t="s">
        <v>355</v>
      </c>
    </row>
    <row r="174" spans="1:4" ht="12.75" hidden="1">
      <c r="A174" s="200"/>
      <c r="B174" s="201"/>
      <c r="C174" s="197" t="s">
        <v>498</v>
      </c>
      <c r="D174" s="227" t="s">
        <v>355</v>
      </c>
    </row>
    <row r="175" spans="1:4" ht="12.75" hidden="1">
      <c r="A175" s="200"/>
      <c r="B175" s="207"/>
      <c r="C175" s="197" t="s">
        <v>499</v>
      </c>
      <c r="D175" s="227" t="s">
        <v>355</v>
      </c>
    </row>
    <row r="176" spans="1:4" ht="12.75" hidden="1">
      <c r="A176" s="200"/>
      <c r="B176" s="207"/>
      <c r="C176" s="197" t="s">
        <v>500</v>
      </c>
      <c r="D176" s="227" t="s">
        <v>355</v>
      </c>
    </row>
    <row r="177" spans="1:4" ht="12.75" hidden="1">
      <c r="A177" s="200"/>
      <c r="B177" s="207"/>
      <c r="C177" s="197" t="s">
        <v>501</v>
      </c>
      <c r="D177" s="227" t="s">
        <v>355</v>
      </c>
    </row>
    <row r="178" spans="1:4" ht="12.75" hidden="1">
      <c r="A178" s="200"/>
      <c r="B178" s="207"/>
      <c r="C178" s="197" t="s">
        <v>502</v>
      </c>
      <c r="D178" s="227" t="s">
        <v>355</v>
      </c>
    </row>
    <row r="179" spans="1:4" ht="12.75" hidden="1">
      <c r="A179" s="203"/>
      <c r="B179" s="206" t="s">
        <v>503</v>
      </c>
      <c r="C179" s="202"/>
      <c r="D179" s="228" t="s">
        <v>355</v>
      </c>
    </row>
    <row r="180" spans="1:4" ht="12.75" hidden="1">
      <c r="A180" s="200"/>
      <c r="B180" s="201"/>
      <c r="C180" s="197" t="s">
        <v>504</v>
      </c>
      <c r="D180" s="227" t="s">
        <v>355</v>
      </c>
    </row>
    <row r="181" spans="1:4" ht="12.75" hidden="1">
      <c r="A181" s="200"/>
      <c r="B181" s="201"/>
      <c r="C181" s="197" t="s">
        <v>505</v>
      </c>
      <c r="D181" s="227" t="s">
        <v>355</v>
      </c>
    </row>
    <row r="182" spans="1:4" ht="12.75" hidden="1">
      <c r="A182" s="200"/>
      <c r="B182" s="201" t="s">
        <v>506</v>
      </c>
      <c r="C182" s="197"/>
      <c r="D182" s="227" t="s">
        <v>355</v>
      </c>
    </row>
    <row r="183" spans="1:4" ht="12.75" hidden="1">
      <c r="A183" s="200"/>
      <c r="B183" s="208" t="s">
        <v>371</v>
      </c>
      <c r="C183" s="201"/>
      <c r="D183" s="223" t="s">
        <v>355</v>
      </c>
    </row>
    <row r="184" spans="1:4" ht="12.75" hidden="1">
      <c r="A184" s="209" t="s">
        <v>99</v>
      </c>
      <c r="B184" s="194"/>
      <c r="C184" s="194"/>
      <c r="D184" s="229" t="s">
        <v>355</v>
      </c>
    </row>
    <row r="185" spans="1:4" ht="12.75" hidden="1">
      <c r="A185" s="209"/>
      <c r="B185" s="194"/>
      <c r="C185" s="194"/>
      <c r="D185" s="222"/>
    </row>
    <row r="186" spans="1:4" ht="12.75">
      <c r="A186" s="198" t="s">
        <v>507</v>
      </c>
      <c r="B186" s="194"/>
      <c r="C186" s="194"/>
      <c r="D186" s="223">
        <f>+D159</f>
        <v>0</v>
      </c>
    </row>
    <row r="187" spans="1:4" ht="12.75">
      <c r="A187" s="198"/>
      <c r="B187" s="194"/>
      <c r="C187" s="194"/>
      <c r="D187" s="227"/>
    </row>
    <row r="188" spans="1:4" ht="12.75">
      <c r="A188" s="194" t="s">
        <v>508</v>
      </c>
      <c r="B188" s="194"/>
      <c r="C188" s="194"/>
      <c r="D188" s="227">
        <f>+D87+D157+D186</f>
        <v>233908.5</v>
      </c>
    </row>
    <row r="189" spans="1:4" ht="12.75">
      <c r="A189" s="194"/>
      <c r="B189" s="194"/>
      <c r="C189" s="194"/>
      <c r="D189" s="227"/>
    </row>
    <row r="190" spans="1:4" ht="12.75" hidden="1">
      <c r="A190" s="199" t="s">
        <v>509</v>
      </c>
      <c r="B190" s="194"/>
      <c r="C190" s="194"/>
      <c r="D190" s="227" t="s">
        <v>355</v>
      </c>
    </row>
    <row r="191" spans="1:4" ht="12.75" hidden="1">
      <c r="A191" s="199"/>
      <c r="B191" s="194"/>
      <c r="C191" s="194"/>
      <c r="D191" s="227"/>
    </row>
    <row r="192" spans="1:4" ht="12.75">
      <c r="A192" s="194" t="s">
        <v>605</v>
      </c>
      <c r="B192" s="194"/>
      <c r="C192" s="194"/>
      <c r="D192" s="223">
        <v>24394288.35</v>
      </c>
    </row>
    <row r="193" spans="1:4" ht="12.75">
      <c r="A193" s="197"/>
      <c r="B193" s="197"/>
      <c r="C193" s="197"/>
      <c r="D193" s="227"/>
    </row>
    <row r="194" spans="1:9" ht="13.5" thickBot="1">
      <c r="A194" s="194" t="s">
        <v>552</v>
      </c>
      <c r="B194" s="194"/>
      <c r="C194" s="194"/>
      <c r="D194" s="224">
        <f>+D188+D192</f>
        <v>24628196.85</v>
      </c>
      <c r="E194" s="89">
        <f>'DetSFP-3rd Qtr'!F9</f>
        <v>24628196.85000001</v>
      </c>
      <c r="I194" s="89"/>
    </row>
    <row r="195" spans="4:9" ht="13.5" thickTop="1">
      <c r="D195" s="89">
        <f>'DetSFP-3rd Qtr'!F9-'CF-3rd Qtr'!D194</f>
        <v>0</v>
      </c>
      <c r="I195" s="318"/>
    </row>
    <row r="198" spans="1:4" ht="12.75">
      <c r="A198" s="16" t="s">
        <v>25</v>
      </c>
      <c r="C198" s="1"/>
      <c r="D198" s="1" t="s">
        <v>55</v>
      </c>
    </row>
    <row r="199" spans="1:4" ht="12.75">
      <c r="A199" s="16"/>
      <c r="C199" s="99"/>
      <c r="D199" s="99"/>
    </row>
    <row r="200" spans="1:4" ht="12.75">
      <c r="A200" s="16"/>
      <c r="C200" s="100"/>
      <c r="D200" s="100"/>
    </row>
    <row r="201" spans="1:4" ht="12.75">
      <c r="A201" s="17" t="s">
        <v>222</v>
      </c>
      <c r="C201" s="1"/>
      <c r="D201" s="20" t="s">
        <v>628</v>
      </c>
    </row>
    <row r="202" spans="1:4" ht="12.75">
      <c r="A202" s="16" t="s">
        <v>630</v>
      </c>
      <c r="C202" s="1"/>
      <c r="D202" s="1" t="s">
        <v>629</v>
      </c>
    </row>
  </sheetData>
  <sheetProtection/>
  <mergeCells count="4">
    <mergeCell ref="A1:E1"/>
    <mergeCell ref="A2:E2"/>
    <mergeCell ref="A3:E3"/>
    <mergeCell ref="A4:E4"/>
  </mergeCells>
  <printOptions/>
  <pageMargins left="0.81" right="0.7" top="0.97" bottom="0.75" header="0.3" footer="0.3"/>
  <pageSetup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4"/>
  <sheetViews>
    <sheetView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5.00390625" style="30" customWidth="1"/>
    <col min="5" max="5" width="12.421875" style="30" customWidth="1"/>
    <col min="6" max="6" width="12.8515625" style="30" customWidth="1"/>
    <col min="7" max="8" width="12.421875" style="30" customWidth="1"/>
    <col min="9" max="9" width="13.28125" style="30" customWidth="1"/>
    <col min="10" max="10" width="14.140625" style="30" customWidth="1"/>
    <col min="11" max="11" width="13.421875" style="30" customWidth="1"/>
    <col min="12" max="12" width="13.2812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775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</row>
    <row r="10" spans="1:16" ht="15.75">
      <c r="A10" s="558" t="s">
        <v>5</v>
      </c>
      <c r="B10" s="35" t="s">
        <v>4</v>
      </c>
      <c r="C10" s="538" t="s">
        <v>790</v>
      </c>
      <c r="D10" s="539"/>
      <c r="E10" s="538" t="s">
        <v>49</v>
      </c>
      <c r="F10" s="539"/>
      <c r="G10" s="538" t="s">
        <v>54</v>
      </c>
      <c r="H10" s="539"/>
      <c r="I10" s="538" t="s">
        <v>48</v>
      </c>
      <c r="J10" s="539"/>
      <c r="K10" s="538" t="s">
        <v>57</v>
      </c>
      <c r="L10" s="539"/>
      <c r="M10" s="537" t="s">
        <v>50</v>
      </c>
      <c r="N10" s="537"/>
      <c r="O10" s="545" t="s">
        <v>7</v>
      </c>
      <c r="P10" s="541" t="s">
        <v>8</v>
      </c>
    </row>
    <row r="11" spans="1:16" ht="16.5" thickBot="1">
      <c r="A11" s="559"/>
      <c r="B11" s="117" t="s">
        <v>6</v>
      </c>
      <c r="C11" s="105" t="s">
        <v>7</v>
      </c>
      <c r="D11" s="106" t="s">
        <v>8</v>
      </c>
      <c r="E11" s="105" t="s">
        <v>7</v>
      </c>
      <c r="F11" s="106" t="s">
        <v>8</v>
      </c>
      <c r="G11" s="105" t="s">
        <v>7</v>
      </c>
      <c r="H11" s="106" t="s">
        <v>8</v>
      </c>
      <c r="I11" s="105" t="s">
        <v>7</v>
      </c>
      <c r="J11" s="106" t="s">
        <v>8</v>
      </c>
      <c r="K11" s="105" t="s">
        <v>7</v>
      </c>
      <c r="L11" s="106" t="s">
        <v>8</v>
      </c>
      <c r="M11" s="118" t="s">
        <v>7</v>
      </c>
      <c r="N11" s="117" t="s">
        <v>8</v>
      </c>
      <c r="O11" s="546"/>
      <c r="P11" s="542"/>
    </row>
    <row r="12" spans="1:16" ht="13.5" customHeight="1">
      <c r="A12" s="40"/>
      <c r="B12" s="504"/>
      <c r="C12" s="502"/>
      <c r="D12" s="42"/>
      <c r="E12" s="40"/>
      <c r="F12" s="42"/>
      <c r="G12" s="40"/>
      <c r="H12" s="42"/>
      <c r="I12" s="40"/>
      <c r="J12" s="42"/>
      <c r="K12" s="40"/>
      <c r="L12" s="42"/>
      <c r="M12" s="502"/>
      <c r="N12" s="41"/>
      <c r="O12" s="327"/>
      <c r="P12" s="114"/>
    </row>
    <row r="13" spans="1:16" ht="12.75" customHeight="1">
      <c r="A13" s="4" t="s">
        <v>9</v>
      </c>
      <c r="B13" s="505"/>
      <c r="C13" s="29"/>
      <c r="D13" s="45"/>
      <c r="E13" s="23"/>
      <c r="F13" s="45"/>
      <c r="G13" s="23"/>
      <c r="H13" s="46"/>
      <c r="I13" s="23"/>
      <c r="J13" s="45"/>
      <c r="K13" s="23"/>
      <c r="L13" s="46"/>
      <c r="M13" s="29"/>
      <c r="N13" s="44"/>
      <c r="O13" s="56"/>
      <c r="P13" s="115"/>
    </row>
    <row r="14" spans="1:16" ht="12.75" customHeight="1">
      <c r="A14" s="102" t="s">
        <v>678</v>
      </c>
      <c r="B14" s="506" t="s">
        <v>679</v>
      </c>
      <c r="C14" s="6">
        <f>Sep20!O14</f>
        <v>0</v>
      </c>
      <c r="D14" s="10">
        <f>Sep20!P14</f>
        <v>0</v>
      </c>
      <c r="E14" s="23"/>
      <c r="F14" s="45"/>
      <c r="G14" s="23"/>
      <c r="H14" s="46"/>
      <c r="I14" s="23"/>
      <c r="J14" s="45"/>
      <c r="K14" s="23"/>
      <c r="L14" s="46"/>
      <c r="M14" s="29"/>
      <c r="N14" s="44"/>
      <c r="O14" s="18">
        <f>C14+E14+I14+M14-D14-F14-J14-N14+G14-H14+K14-L14</f>
        <v>0</v>
      </c>
      <c r="P14" s="115"/>
    </row>
    <row r="15" spans="1:16" ht="12.75">
      <c r="A15" s="49" t="s">
        <v>101</v>
      </c>
      <c r="B15" s="506" t="s">
        <v>100</v>
      </c>
      <c r="C15" s="484">
        <f>Sep20!O15</f>
        <v>35000</v>
      </c>
      <c r="D15" s="10">
        <f>Sep20!P15</f>
        <v>0</v>
      </c>
      <c r="E15" s="13"/>
      <c r="F15" s="48"/>
      <c r="G15" s="13"/>
      <c r="H15" s="46"/>
      <c r="I15" s="13"/>
      <c r="J15" s="48"/>
      <c r="K15" s="13"/>
      <c r="L15" s="46"/>
      <c r="M15" s="6"/>
      <c r="N15" s="47"/>
      <c r="O15" s="18">
        <f>C15+E15+I15+M15-D15-F15-J15-N15+G15-H15+K15-L15</f>
        <v>35000</v>
      </c>
      <c r="P15" s="22"/>
    </row>
    <row r="16" spans="1:16" s="29" customFormat="1" ht="12.75">
      <c r="A16" s="49" t="s">
        <v>589</v>
      </c>
      <c r="B16" s="506" t="s">
        <v>230</v>
      </c>
      <c r="C16" s="6">
        <f>Sep20!O16</f>
        <v>333912.42</v>
      </c>
      <c r="D16" s="10">
        <f>Sep20!P16</f>
        <v>0</v>
      </c>
      <c r="E16" s="13"/>
      <c r="F16" s="498"/>
      <c r="G16" s="13"/>
      <c r="H16" s="46"/>
      <c r="I16" s="13"/>
      <c r="J16" s="48"/>
      <c r="K16" s="13"/>
      <c r="L16" s="46"/>
      <c r="M16" s="6"/>
      <c r="N16" s="47"/>
      <c r="O16" s="18">
        <f aca="true" t="shared" si="0" ref="O16:O82">C16+E16+I16+M16-D16-F16-J16-N16+G16-H16+K16-L16</f>
        <v>333912.42</v>
      </c>
      <c r="P16" s="22"/>
    </row>
    <row r="17" spans="1:16" s="29" customFormat="1" ht="12.75">
      <c r="A17" s="49" t="s">
        <v>636</v>
      </c>
      <c r="B17" s="506" t="s">
        <v>590</v>
      </c>
      <c r="C17" s="484">
        <f>Sep20!O17</f>
        <v>21573113.93</v>
      </c>
      <c r="D17" s="10">
        <f>Sep20!P17</f>
        <v>0</v>
      </c>
      <c r="E17" s="14"/>
      <c r="F17" s="10"/>
      <c r="G17" s="14"/>
      <c r="H17" s="46"/>
      <c r="I17" s="14"/>
      <c r="J17" s="48"/>
      <c r="K17" s="14"/>
      <c r="L17" s="46"/>
      <c r="M17" s="9"/>
      <c r="N17" s="51"/>
      <c r="O17" s="18">
        <f t="shared" si="0"/>
        <v>21573113.93</v>
      </c>
      <c r="P17" s="22"/>
    </row>
    <row r="18" spans="1:16" s="29" customFormat="1" ht="12.75">
      <c r="A18" s="49" t="s">
        <v>103</v>
      </c>
      <c r="B18" s="506" t="s">
        <v>102</v>
      </c>
      <c r="C18" s="6">
        <f>Sep20!O18</f>
        <v>25291.119999974966</v>
      </c>
      <c r="D18" s="10">
        <f>Sep20!P18</f>
        <v>0</v>
      </c>
      <c r="E18" s="14"/>
      <c r="F18" s="50">
        <v>6473429.06</v>
      </c>
      <c r="G18" s="14"/>
      <c r="H18" s="46"/>
      <c r="I18" s="14"/>
      <c r="J18" s="50"/>
      <c r="K18" s="14"/>
      <c r="L18" s="10"/>
      <c r="M18" s="9">
        <f>25183540+80000+900000</f>
        <v>26163540</v>
      </c>
      <c r="N18" s="51"/>
      <c r="O18" s="18">
        <f t="shared" si="0"/>
        <v>19715402.059999976</v>
      </c>
      <c r="P18" s="22"/>
    </row>
    <row r="19" spans="1:16" s="29" customFormat="1" ht="12.75">
      <c r="A19" s="49" t="s">
        <v>10</v>
      </c>
      <c r="B19" s="506" t="s">
        <v>104</v>
      </c>
      <c r="C19" s="484">
        <f>Sep20!O19</f>
        <v>2110849.0100000016</v>
      </c>
      <c r="D19" s="10">
        <f>Sep20!P19</f>
        <v>0</v>
      </c>
      <c r="E19" s="14"/>
      <c r="F19" s="50"/>
      <c r="G19" s="14"/>
      <c r="H19" s="46"/>
      <c r="I19" s="14"/>
      <c r="J19" s="50"/>
      <c r="K19" s="14"/>
      <c r="L19" s="10"/>
      <c r="M19" s="9"/>
      <c r="N19" s="51"/>
      <c r="O19" s="18">
        <f t="shared" si="0"/>
        <v>2110849.0100000016</v>
      </c>
      <c r="P19" s="22"/>
    </row>
    <row r="20" spans="1:16" s="29" customFormat="1" ht="12.75">
      <c r="A20" s="49" t="s">
        <v>567</v>
      </c>
      <c r="B20" s="506" t="s">
        <v>568</v>
      </c>
      <c r="C20" s="6">
        <f>Sep20!O20</f>
        <v>22237581.29</v>
      </c>
      <c r="D20" s="10">
        <f>Sep20!P20</f>
        <v>0</v>
      </c>
      <c r="E20" s="14"/>
      <c r="F20" s="50"/>
      <c r="G20" s="14"/>
      <c r="H20" s="46"/>
      <c r="I20" s="14"/>
      <c r="J20" s="50"/>
      <c r="K20" s="14"/>
      <c r="L20" s="10"/>
      <c r="M20" s="9"/>
      <c r="N20" s="51"/>
      <c r="O20" s="18">
        <f t="shared" si="0"/>
        <v>22237581.29</v>
      </c>
      <c r="P20" s="22"/>
    </row>
    <row r="21" spans="1:16" s="29" customFormat="1" ht="12.75">
      <c r="A21" s="49" t="s">
        <v>225</v>
      </c>
      <c r="B21" s="506" t="s">
        <v>226</v>
      </c>
      <c r="C21" s="484">
        <f>Sep20!O21</f>
        <v>497000</v>
      </c>
      <c r="D21" s="10">
        <f>Sep20!P21</f>
        <v>0</v>
      </c>
      <c r="E21" s="14"/>
      <c r="F21" s="50"/>
      <c r="G21" s="14"/>
      <c r="H21" s="46"/>
      <c r="I21" s="14"/>
      <c r="J21" s="50"/>
      <c r="K21" s="14"/>
      <c r="L21" s="10"/>
      <c r="M21" s="9"/>
      <c r="N21" s="51"/>
      <c r="O21" s="18">
        <f t="shared" si="0"/>
        <v>497000</v>
      </c>
      <c r="P21" s="22"/>
    </row>
    <row r="22" spans="1:16" s="29" customFormat="1" ht="12.75">
      <c r="A22" s="49" t="s">
        <v>11</v>
      </c>
      <c r="B22" s="506" t="s">
        <v>105</v>
      </c>
      <c r="C22" s="6">
        <f>Sep20!O22</f>
        <v>734827.22</v>
      </c>
      <c r="D22" s="10">
        <f>Sep20!P22</f>
        <v>0</v>
      </c>
      <c r="E22" s="14"/>
      <c r="F22" s="12"/>
      <c r="G22" s="14"/>
      <c r="H22" s="53"/>
      <c r="I22" s="14"/>
      <c r="J22" s="12"/>
      <c r="K22" s="14"/>
      <c r="L22" s="53"/>
      <c r="M22" s="9"/>
      <c r="N22" s="52"/>
      <c r="O22" s="18">
        <f t="shared" si="0"/>
        <v>734827.22</v>
      </c>
      <c r="P22" s="122"/>
    </row>
    <row r="23" spans="1:16" s="29" customFormat="1" ht="12.75">
      <c r="A23" s="74" t="s">
        <v>108</v>
      </c>
      <c r="B23" s="507" t="s">
        <v>106</v>
      </c>
      <c r="C23" s="484">
        <f>Sep20!O23</f>
        <v>1600</v>
      </c>
      <c r="D23" s="10">
        <f>Sep20!P23</f>
        <v>0</v>
      </c>
      <c r="E23" s="14"/>
      <c r="F23" s="12"/>
      <c r="G23" s="14"/>
      <c r="H23" s="53"/>
      <c r="I23" s="14"/>
      <c r="J23" s="12"/>
      <c r="K23" s="14"/>
      <c r="L23" s="53"/>
      <c r="M23" s="9"/>
      <c r="N23" s="52"/>
      <c r="O23" s="18">
        <f t="shared" si="0"/>
        <v>1600</v>
      </c>
      <c r="P23" s="122"/>
    </row>
    <row r="24" spans="1:16" s="29" customFormat="1" ht="12.75">
      <c r="A24" s="49" t="s">
        <v>109</v>
      </c>
      <c r="B24" s="506" t="s">
        <v>107</v>
      </c>
      <c r="C24" s="6">
        <f>Sep20!O24</f>
        <v>0</v>
      </c>
      <c r="D24" s="10">
        <f>Sep20!P24</f>
        <v>0</v>
      </c>
      <c r="E24" s="14"/>
      <c r="F24" s="12"/>
      <c r="G24" s="14"/>
      <c r="H24" s="53"/>
      <c r="I24" s="14"/>
      <c r="J24" s="12"/>
      <c r="K24" s="14"/>
      <c r="L24" s="53"/>
      <c r="M24" s="9"/>
      <c r="N24" s="52"/>
      <c r="O24" s="18">
        <f t="shared" si="0"/>
        <v>0</v>
      </c>
      <c r="P24" s="122"/>
    </row>
    <row r="25" spans="1:16" s="29" customFormat="1" ht="12.75">
      <c r="A25" s="49" t="s">
        <v>239</v>
      </c>
      <c r="B25" s="506" t="s">
        <v>240</v>
      </c>
      <c r="C25" s="484">
        <f>Sep20!O25</f>
        <v>0</v>
      </c>
      <c r="D25" s="10">
        <f>Sep20!P25</f>
        <v>0</v>
      </c>
      <c r="E25" s="14"/>
      <c r="F25" s="12"/>
      <c r="G25" s="14"/>
      <c r="H25" s="53"/>
      <c r="I25" s="14"/>
      <c r="J25" s="12"/>
      <c r="K25" s="14"/>
      <c r="L25" s="53"/>
      <c r="M25" s="9"/>
      <c r="N25" s="52"/>
      <c r="O25" s="18">
        <f t="shared" si="0"/>
        <v>0</v>
      </c>
      <c r="P25" s="122"/>
    </row>
    <row r="26" spans="1:16" s="29" customFormat="1" ht="12.75">
      <c r="A26" s="49" t="s">
        <v>238</v>
      </c>
      <c r="B26" s="506" t="s">
        <v>231</v>
      </c>
      <c r="C26" s="6">
        <f>Sep20!O26</f>
        <v>0</v>
      </c>
      <c r="D26" s="10">
        <f>Sep20!P26</f>
        <v>0</v>
      </c>
      <c r="E26" s="14"/>
      <c r="F26" s="12"/>
      <c r="G26" s="14"/>
      <c r="H26" s="53"/>
      <c r="I26" s="14"/>
      <c r="J26" s="12"/>
      <c r="K26" s="14"/>
      <c r="L26" s="53"/>
      <c r="M26" s="9"/>
      <c r="N26" s="52"/>
      <c r="O26" s="18">
        <f t="shared" si="0"/>
        <v>0</v>
      </c>
      <c r="P26" s="122"/>
    </row>
    <row r="27" spans="1:16" s="29" customFormat="1" ht="12.75">
      <c r="A27" s="49" t="s">
        <v>534</v>
      </c>
      <c r="B27" s="506" t="s">
        <v>526</v>
      </c>
      <c r="C27" s="484">
        <f>Sep20!O27</f>
        <v>0</v>
      </c>
      <c r="D27" s="10">
        <f>Sep20!P27</f>
        <v>0</v>
      </c>
      <c r="E27" s="14"/>
      <c r="F27" s="12"/>
      <c r="G27" s="14"/>
      <c r="H27" s="53"/>
      <c r="I27" s="14"/>
      <c r="J27" s="12"/>
      <c r="K27" s="14"/>
      <c r="L27" s="53"/>
      <c r="M27" s="9"/>
      <c r="N27" s="52"/>
      <c r="O27" s="18">
        <f t="shared" si="0"/>
        <v>0</v>
      </c>
      <c r="P27" s="122"/>
    </row>
    <row r="28" spans="1:16" s="29" customFormat="1" ht="12.75">
      <c r="A28" s="49" t="s">
        <v>315</v>
      </c>
      <c r="B28" s="506" t="s">
        <v>110</v>
      </c>
      <c r="C28" s="6">
        <f>Sep20!O28</f>
        <v>0</v>
      </c>
      <c r="D28" s="10">
        <f>Sep20!P28</f>
        <v>0</v>
      </c>
      <c r="E28" s="14"/>
      <c r="F28" s="12"/>
      <c r="G28" s="14"/>
      <c r="H28" s="12"/>
      <c r="I28" s="14"/>
      <c r="J28" s="12"/>
      <c r="K28" s="14"/>
      <c r="L28" s="53"/>
      <c r="M28" s="9"/>
      <c r="N28" s="52"/>
      <c r="O28" s="18">
        <f t="shared" si="0"/>
        <v>0</v>
      </c>
      <c r="P28" s="122"/>
    </row>
    <row r="29" spans="1:16" s="29" customFormat="1" ht="12.75">
      <c r="A29" s="49" t="s">
        <v>213</v>
      </c>
      <c r="B29" s="506" t="s">
        <v>209</v>
      </c>
      <c r="C29" s="484">
        <f>Sep20!O29</f>
        <v>0</v>
      </c>
      <c r="D29" s="10">
        <f>Sep20!P29</f>
        <v>0</v>
      </c>
      <c r="E29" s="14">
        <v>23115</v>
      </c>
      <c r="F29" s="12"/>
      <c r="G29" s="14"/>
      <c r="H29" s="98"/>
      <c r="I29" s="14"/>
      <c r="J29" s="12"/>
      <c r="K29" s="14"/>
      <c r="L29" s="53"/>
      <c r="M29" s="9"/>
      <c r="N29" s="52">
        <v>23115</v>
      </c>
      <c r="O29" s="18">
        <f t="shared" si="0"/>
        <v>0</v>
      </c>
      <c r="P29" s="122"/>
    </row>
    <row r="30" spans="1:16" s="29" customFormat="1" ht="12.75">
      <c r="A30" s="49" t="s">
        <v>201</v>
      </c>
      <c r="B30" s="506" t="s">
        <v>200</v>
      </c>
      <c r="C30" s="6">
        <f>Sep20!O30</f>
        <v>0</v>
      </c>
      <c r="D30" s="10">
        <f>Sep20!P30</f>
        <v>0</v>
      </c>
      <c r="E30" s="14"/>
      <c r="F30" s="12"/>
      <c r="G30" s="14"/>
      <c r="H30" s="98"/>
      <c r="I30" s="14"/>
      <c r="J30" s="12"/>
      <c r="K30" s="14"/>
      <c r="L30" s="53"/>
      <c r="M30" s="9"/>
      <c r="N30" s="52"/>
      <c r="O30" s="18">
        <f t="shared" si="0"/>
        <v>0</v>
      </c>
      <c r="P30" s="122"/>
    </row>
    <row r="31" spans="1:16" s="29" customFormat="1" ht="12.75">
      <c r="A31" s="49" t="s">
        <v>202</v>
      </c>
      <c r="B31" s="506" t="s">
        <v>203</v>
      </c>
      <c r="C31" s="484">
        <f>Sep20!O31</f>
        <v>0</v>
      </c>
      <c r="D31" s="10">
        <f>Sep20!P31</f>
        <v>0</v>
      </c>
      <c r="E31" s="14">
        <v>10678</v>
      </c>
      <c r="F31" s="12"/>
      <c r="G31" s="14"/>
      <c r="H31" s="53"/>
      <c r="I31" s="14"/>
      <c r="J31" s="12"/>
      <c r="K31" s="14"/>
      <c r="L31" s="53"/>
      <c r="M31" s="9"/>
      <c r="N31" s="52"/>
      <c r="O31" s="18">
        <f t="shared" si="0"/>
        <v>10678</v>
      </c>
      <c r="P31" s="122"/>
    </row>
    <row r="32" spans="1:16" s="29" customFormat="1" ht="12.75">
      <c r="A32" s="49" t="s">
        <v>727</v>
      </c>
      <c r="B32" s="506" t="s">
        <v>728</v>
      </c>
      <c r="C32" s="6">
        <f>Sep20!O32</f>
        <v>4306110.029999999</v>
      </c>
      <c r="D32" s="10">
        <f>Sep20!P32</f>
        <v>0</v>
      </c>
      <c r="E32" s="14"/>
      <c r="F32" s="12"/>
      <c r="G32" s="14"/>
      <c r="H32" s="53"/>
      <c r="I32" s="14"/>
      <c r="J32" s="12"/>
      <c r="K32" s="14"/>
      <c r="L32" s="53"/>
      <c r="M32" s="9"/>
      <c r="N32" s="52"/>
      <c r="O32" s="18">
        <f t="shared" si="0"/>
        <v>4306110.029999999</v>
      </c>
      <c r="P32" s="122"/>
    </row>
    <row r="33" spans="1:16" s="29" customFormat="1" ht="12.75">
      <c r="A33" s="49" t="s">
        <v>12</v>
      </c>
      <c r="B33" s="506" t="s">
        <v>111</v>
      </c>
      <c r="C33" s="484">
        <f>Sep20!O33</f>
        <v>1208049.99</v>
      </c>
      <c r="D33" s="10">
        <f>Sep20!P33</f>
        <v>0</v>
      </c>
      <c r="E33" s="14"/>
      <c r="F33" s="12"/>
      <c r="G33" s="14"/>
      <c r="H33" s="53"/>
      <c r="I33" s="14"/>
      <c r="J33" s="12"/>
      <c r="K33" s="14"/>
      <c r="L33" s="53"/>
      <c r="M33" s="9"/>
      <c r="N33" s="52"/>
      <c r="O33" s="18">
        <f t="shared" si="0"/>
        <v>1208049.99</v>
      </c>
      <c r="P33" s="122"/>
    </row>
    <row r="34" spans="1:16" s="29" customFormat="1" ht="12.75">
      <c r="A34" s="49" t="s">
        <v>120</v>
      </c>
      <c r="B34" s="506" t="s">
        <v>112</v>
      </c>
      <c r="C34" s="6">
        <f>Sep20!O34</f>
        <v>0</v>
      </c>
      <c r="D34" s="10">
        <f>Sep20!P34</f>
        <v>364327.7</v>
      </c>
      <c r="E34" s="14"/>
      <c r="F34" s="12"/>
      <c r="G34" s="14"/>
      <c r="H34" s="53"/>
      <c r="I34" s="14"/>
      <c r="J34" s="12"/>
      <c r="K34" s="14"/>
      <c r="L34" s="53"/>
      <c r="M34" s="9"/>
      <c r="N34" s="52"/>
      <c r="O34" s="18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506" t="s">
        <v>113</v>
      </c>
      <c r="C35" s="484">
        <f>Sep20!O35</f>
        <v>1155878</v>
      </c>
      <c r="D35" s="10">
        <f>Sep20!P35</f>
        <v>0</v>
      </c>
      <c r="E35" s="14"/>
      <c r="F35" s="12"/>
      <c r="G35" s="14"/>
      <c r="H35" s="12"/>
      <c r="I35" s="14"/>
      <c r="J35" s="12"/>
      <c r="K35" s="14"/>
      <c r="L35" s="12"/>
      <c r="M35" s="9"/>
      <c r="N35" s="52"/>
      <c r="O35" s="18">
        <f t="shared" si="0"/>
        <v>1155878</v>
      </c>
      <c r="P35" s="122"/>
    </row>
    <row r="36" spans="1:16" s="29" customFormat="1" ht="12.75" customHeight="1">
      <c r="A36" s="49" t="s">
        <v>115</v>
      </c>
      <c r="B36" s="506" t="s">
        <v>121</v>
      </c>
      <c r="C36" s="6">
        <f>Sep20!O36</f>
        <v>0</v>
      </c>
      <c r="D36" s="10">
        <f>Sep20!P36</f>
        <v>422310.89</v>
      </c>
      <c r="E36" s="14"/>
      <c r="F36" s="12"/>
      <c r="G36" s="14"/>
      <c r="H36" s="12"/>
      <c r="I36" s="14"/>
      <c r="J36" s="12"/>
      <c r="K36" s="14"/>
      <c r="L36" s="12"/>
      <c r="M36" s="9"/>
      <c r="N36" s="52"/>
      <c r="O36" s="18"/>
      <c r="P36" s="122">
        <f>D36+F36+J36+N36+H36-E36-G36-I36-M36+L36-K36</f>
        <v>422310.89</v>
      </c>
    </row>
    <row r="37" spans="1:16" s="29" customFormat="1" ht="12.75" customHeight="1">
      <c r="A37" s="49" t="s">
        <v>780</v>
      </c>
      <c r="B37" s="262" t="s">
        <v>778</v>
      </c>
      <c r="C37" s="484">
        <f>Sep20!O37</f>
        <v>42854819</v>
      </c>
      <c r="D37" s="10">
        <f>Sep20!P37</f>
        <v>0</v>
      </c>
      <c r="E37" s="14"/>
      <c r="F37" s="12"/>
      <c r="G37" s="14"/>
      <c r="H37" s="12"/>
      <c r="I37" s="14"/>
      <c r="J37" s="12"/>
      <c r="K37" s="14"/>
      <c r="L37" s="12"/>
      <c r="M37" s="9"/>
      <c r="N37" s="52"/>
      <c r="O37" s="18">
        <f t="shared" si="0"/>
        <v>42854819</v>
      </c>
      <c r="P37" s="122"/>
    </row>
    <row r="38" spans="1:16" s="29" customFormat="1" ht="12.75" customHeight="1">
      <c r="A38" s="49" t="s">
        <v>781</v>
      </c>
      <c r="B38" s="262" t="s">
        <v>779</v>
      </c>
      <c r="C38" s="6">
        <f>Sep20!O38</f>
        <v>0</v>
      </c>
      <c r="D38" s="10">
        <f>Sep20!P38</f>
        <v>434368.27</v>
      </c>
      <c r="E38" s="14"/>
      <c r="F38" s="12"/>
      <c r="G38" s="14"/>
      <c r="H38" s="12"/>
      <c r="I38" s="14"/>
      <c r="J38" s="12"/>
      <c r="K38" s="14"/>
      <c r="L38" s="12"/>
      <c r="M38" s="9"/>
      <c r="N38" s="52"/>
      <c r="O38" s="18"/>
      <c r="P38" s="122">
        <f>D38+F38+J38+N38+H38-E38-G38-I38-M38+L38-K38</f>
        <v>434368.27</v>
      </c>
    </row>
    <row r="39" spans="1:16" s="29" customFormat="1" ht="12.75" customHeight="1">
      <c r="A39" s="49" t="s">
        <v>782</v>
      </c>
      <c r="B39" s="262" t="s">
        <v>783</v>
      </c>
      <c r="C39" s="484">
        <f>Sep20!O39</f>
        <v>0</v>
      </c>
      <c r="D39" s="10">
        <f>Sep20!P39</f>
        <v>0</v>
      </c>
      <c r="E39" s="14">
        <v>968000</v>
      </c>
      <c r="F39" s="12"/>
      <c r="G39" s="14"/>
      <c r="H39" s="12"/>
      <c r="I39" s="14"/>
      <c r="J39" s="12"/>
      <c r="K39" s="14"/>
      <c r="L39" s="12"/>
      <c r="M39" s="9"/>
      <c r="N39" s="52"/>
      <c r="O39" s="18">
        <f t="shared" si="0"/>
        <v>968000</v>
      </c>
      <c r="P39" s="122"/>
    </row>
    <row r="40" spans="1:16" s="29" customFormat="1" ht="12.75" customHeight="1">
      <c r="A40" s="49" t="s">
        <v>784</v>
      </c>
      <c r="B40" s="262" t="s">
        <v>785</v>
      </c>
      <c r="C40" s="6">
        <f>Sep20!O40</f>
        <v>0</v>
      </c>
      <c r="D40" s="10">
        <f>Sep20!P40</f>
        <v>0</v>
      </c>
      <c r="E40" s="14"/>
      <c r="F40" s="12"/>
      <c r="G40" s="14"/>
      <c r="H40" s="12"/>
      <c r="I40" s="14"/>
      <c r="J40" s="12"/>
      <c r="K40" s="14"/>
      <c r="L40" s="12"/>
      <c r="M40" s="9"/>
      <c r="N40" s="52"/>
      <c r="O40" s="18"/>
      <c r="P40" s="122">
        <f>D40+F40+J40+N40+H40-E40-G40-I40-M40+L40-K40</f>
        <v>0</v>
      </c>
    </row>
    <row r="41" spans="1:16" s="29" customFormat="1" ht="12.75" customHeight="1">
      <c r="A41" s="49" t="s">
        <v>786</v>
      </c>
      <c r="B41" s="262" t="s">
        <v>788</v>
      </c>
      <c r="C41" s="484">
        <f>Sep20!O41</f>
        <v>45000</v>
      </c>
      <c r="D41" s="10">
        <f>Sep20!P41</f>
        <v>0</v>
      </c>
      <c r="E41" s="14">
        <v>2338848.55</v>
      </c>
      <c r="F41" s="12"/>
      <c r="G41" s="14"/>
      <c r="H41" s="12"/>
      <c r="I41" s="14"/>
      <c r="J41" s="12"/>
      <c r="K41" s="14"/>
      <c r="L41" s="12"/>
      <c r="M41" s="9"/>
      <c r="N41" s="52"/>
      <c r="O41" s="18">
        <f t="shared" si="0"/>
        <v>2383848.55</v>
      </c>
      <c r="P41" s="122"/>
    </row>
    <row r="42" spans="1:16" s="29" customFormat="1" ht="12.75" customHeight="1">
      <c r="A42" s="49" t="s">
        <v>787</v>
      </c>
      <c r="B42" s="262" t="s">
        <v>789</v>
      </c>
      <c r="C42" s="6">
        <f>Sep20!O42</f>
        <v>0</v>
      </c>
      <c r="D42" s="10">
        <f>Sep20!P42</f>
        <v>0</v>
      </c>
      <c r="E42" s="14"/>
      <c r="F42" s="12"/>
      <c r="G42" s="14"/>
      <c r="H42" s="12"/>
      <c r="I42" s="14"/>
      <c r="J42" s="12"/>
      <c r="K42" s="14"/>
      <c r="L42" s="12"/>
      <c r="M42" s="9"/>
      <c r="N42" s="52"/>
      <c r="O42" s="18"/>
      <c r="P42" s="122">
        <f>D42+F42+J42+N42+H42-E42-G42-I42-M42+L42-K42</f>
        <v>0</v>
      </c>
    </row>
    <row r="43" spans="1:16" s="29" customFormat="1" ht="12.75" customHeight="1">
      <c r="A43" s="49" t="s">
        <v>530</v>
      </c>
      <c r="B43" s="506" t="s">
        <v>533</v>
      </c>
      <c r="C43" s="484">
        <f>Sep20!O43</f>
        <v>40622</v>
      </c>
      <c r="D43" s="10">
        <f>Sep20!P43</f>
        <v>0</v>
      </c>
      <c r="E43" s="14"/>
      <c r="F43" s="12"/>
      <c r="G43" s="14"/>
      <c r="H43" s="12"/>
      <c r="I43" s="14"/>
      <c r="J43" s="12"/>
      <c r="K43" s="14"/>
      <c r="L43" s="12"/>
      <c r="M43" s="9"/>
      <c r="N43" s="52"/>
      <c r="O43" s="18">
        <f t="shared" si="0"/>
        <v>40622</v>
      </c>
      <c r="P43" s="122"/>
    </row>
    <row r="44" spans="1:16" s="29" customFormat="1" ht="12.75" customHeight="1">
      <c r="A44" s="49" t="s">
        <v>531</v>
      </c>
      <c r="B44" s="506" t="s">
        <v>532</v>
      </c>
      <c r="C44" s="6">
        <f>Sep20!O44</f>
        <v>0</v>
      </c>
      <c r="D44" s="10">
        <f>Sep20!P44</f>
        <v>9647.73</v>
      </c>
      <c r="E44" s="14"/>
      <c r="F44" s="12"/>
      <c r="G44" s="14"/>
      <c r="H44" s="12"/>
      <c r="I44" s="14"/>
      <c r="J44" s="12"/>
      <c r="K44" s="14"/>
      <c r="L44" s="12"/>
      <c r="M44" s="9"/>
      <c r="N44" s="52"/>
      <c r="O44" s="18"/>
      <c r="P44" s="122">
        <f>D44+F44+J44+N44+H44-E44-G44-I44-M44+L44-K44</f>
        <v>9647.73</v>
      </c>
    </row>
    <row r="45" spans="1:16" s="29" customFormat="1" ht="12.75">
      <c r="A45" s="49" t="s">
        <v>128</v>
      </c>
      <c r="B45" s="506" t="s">
        <v>130</v>
      </c>
      <c r="C45" s="484">
        <f>Sep20!O45</f>
        <v>545970</v>
      </c>
      <c r="D45" s="10">
        <f>Sep20!P45</f>
        <v>0</v>
      </c>
      <c r="E45" s="14"/>
      <c r="F45" s="12"/>
      <c r="G45" s="14"/>
      <c r="H45" s="12"/>
      <c r="I45" s="14"/>
      <c r="J45" s="12"/>
      <c r="K45" s="14"/>
      <c r="L45" s="12"/>
      <c r="M45" s="9"/>
      <c r="N45" s="52"/>
      <c r="O45" s="18">
        <f t="shared" si="0"/>
        <v>545970</v>
      </c>
      <c r="P45" s="122"/>
    </row>
    <row r="46" spans="1:16" s="29" customFormat="1" ht="12.75">
      <c r="A46" s="49" t="s">
        <v>129</v>
      </c>
      <c r="B46" s="506" t="s">
        <v>131</v>
      </c>
      <c r="C46" s="6">
        <f>Sep20!O46</f>
        <v>0</v>
      </c>
      <c r="D46" s="10">
        <f>Sep20!P46</f>
        <v>370243.56</v>
      </c>
      <c r="E46" s="14"/>
      <c r="F46" s="12"/>
      <c r="G46" s="14"/>
      <c r="H46" s="12"/>
      <c r="I46" s="14"/>
      <c r="J46" s="12"/>
      <c r="K46" s="14"/>
      <c r="L46" s="12"/>
      <c r="M46" s="9"/>
      <c r="N46" s="52"/>
      <c r="O46" s="18"/>
      <c r="P46" s="122">
        <f>D46+F46+J46+N46+H46-E46-G46-I46-M46+L46-K46</f>
        <v>370243.56</v>
      </c>
    </row>
    <row r="47" spans="1:16" s="29" customFormat="1" ht="12.75">
      <c r="A47" s="49" t="s">
        <v>41</v>
      </c>
      <c r="B47" s="506" t="s">
        <v>126</v>
      </c>
      <c r="C47" s="484">
        <f>Sep20!O47</f>
        <v>2391000</v>
      </c>
      <c r="D47" s="10">
        <f>Sep20!P47</f>
        <v>0</v>
      </c>
      <c r="E47" s="14"/>
      <c r="F47" s="12"/>
      <c r="G47" s="14"/>
      <c r="H47" s="12"/>
      <c r="I47" s="14"/>
      <c r="J47" s="12"/>
      <c r="K47" s="14"/>
      <c r="L47" s="12"/>
      <c r="M47" s="9"/>
      <c r="N47" s="52"/>
      <c r="O47" s="18">
        <f t="shared" si="0"/>
        <v>2391000</v>
      </c>
      <c r="P47" s="122"/>
    </row>
    <row r="48" spans="1:16" s="29" customFormat="1" ht="12.75">
      <c r="A48" s="49" t="s">
        <v>42</v>
      </c>
      <c r="B48" s="506" t="s">
        <v>127</v>
      </c>
      <c r="C48" s="6">
        <f>Sep20!O48</f>
        <v>0</v>
      </c>
      <c r="D48" s="10">
        <f>Sep20!P48</f>
        <v>854100</v>
      </c>
      <c r="E48" s="14"/>
      <c r="F48" s="12"/>
      <c r="G48" s="14"/>
      <c r="H48" s="12"/>
      <c r="I48" s="14"/>
      <c r="J48" s="12"/>
      <c r="K48" s="14"/>
      <c r="L48" s="12"/>
      <c r="M48" s="9"/>
      <c r="N48" s="52"/>
      <c r="O48" s="18"/>
      <c r="P48" s="122">
        <f>D48+F48+J48+N48+H48-E48-G48-I48-M48+L48-K48</f>
        <v>854100</v>
      </c>
    </row>
    <row r="49" spans="1:16" s="29" customFormat="1" ht="12.75">
      <c r="A49" s="49" t="s">
        <v>13</v>
      </c>
      <c r="B49" s="506" t="s">
        <v>118</v>
      </c>
      <c r="C49" s="484">
        <f>Sep20!O49</f>
        <v>631727.2</v>
      </c>
      <c r="D49" s="10">
        <f>Sep20!P49</f>
        <v>0</v>
      </c>
      <c r="E49" s="14"/>
      <c r="F49" s="12"/>
      <c r="G49" s="14"/>
      <c r="H49" s="12"/>
      <c r="I49" s="14"/>
      <c r="J49" s="12"/>
      <c r="K49" s="14"/>
      <c r="L49" s="12"/>
      <c r="M49" s="9"/>
      <c r="N49" s="52"/>
      <c r="O49" s="18">
        <f t="shared" si="0"/>
        <v>631727.2</v>
      </c>
      <c r="P49" s="122"/>
    </row>
    <row r="50" spans="1:16" s="29" customFormat="1" ht="12.75">
      <c r="A50" s="49" t="s">
        <v>14</v>
      </c>
      <c r="B50" s="506" t="s">
        <v>119</v>
      </c>
      <c r="C50" s="6">
        <f>Sep20!O50</f>
        <v>0</v>
      </c>
      <c r="D50" s="10">
        <f>Sep20!P50</f>
        <v>319092.84</v>
      </c>
      <c r="E50" s="14"/>
      <c r="F50" s="12"/>
      <c r="G50" s="14"/>
      <c r="H50" s="12"/>
      <c r="I50" s="14"/>
      <c r="J50" s="12"/>
      <c r="K50" s="14"/>
      <c r="L50" s="12"/>
      <c r="M50" s="9"/>
      <c r="N50" s="52"/>
      <c r="O50" s="18"/>
      <c r="P50" s="122">
        <f>D50+F50+J50+N50+H50-E50-G50-I50-M50+L50-K50</f>
        <v>319092.84</v>
      </c>
    </row>
    <row r="51" spans="1:16" s="29" customFormat="1" ht="12.75">
      <c r="A51" s="49" t="s">
        <v>791</v>
      </c>
      <c r="B51" s="506" t="s">
        <v>681</v>
      </c>
      <c r="C51" s="484">
        <f>Sep20!O51</f>
        <v>0</v>
      </c>
      <c r="D51" s="10">
        <f>Sep20!P51</f>
        <v>0</v>
      </c>
      <c r="E51" s="14">
        <v>0</v>
      </c>
      <c r="F51" s="12"/>
      <c r="G51" s="14"/>
      <c r="H51" s="12"/>
      <c r="I51" s="14"/>
      <c r="J51" s="12"/>
      <c r="K51" s="14"/>
      <c r="L51" s="12"/>
      <c r="M51" s="9"/>
      <c r="N51" s="52"/>
      <c r="O51" s="18">
        <f t="shared" si="0"/>
        <v>0</v>
      </c>
      <c r="P51" s="122"/>
    </row>
    <row r="52" spans="1:16" s="29" customFormat="1" ht="12.75">
      <c r="A52" s="49" t="s">
        <v>792</v>
      </c>
      <c r="B52" s="506" t="s">
        <v>682</v>
      </c>
      <c r="C52" s="6">
        <f>Sep20!O52</f>
        <v>0</v>
      </c>
      <c r="D52" s="10">
        <f>Sep20!P52</f>
        <v>0</v>
      </c>
      <c r="E52" s="14"/>
      <c r="F52" s="12"/>
      <c r="G52" s="14"/>
      <c r="H52" s="12"/>
      <c r="I52" s="14"/>
      <c r="J52" s="12"/>
      <c r="K52" s="14"/>
      <c r="L52" s="12"/>
      <c r="M52" s="9"/>
      <c r="N52" s="52"/>
      <c r="O52" s="18"/>
      <c r="P52" s="122">
        <f>D52+F52+J52+N52+H52-E52-G52-I52-M52+L52-K52</f>
        <v>0</v>
      </c>
    </row>
    <row r="53" spans="1:16" s="29" customFormat="1" ht="12.75">
      <c r="A53" s="49" t="s">
        <v>559</v>
      </c>
      <c r="B53" s="506" t="s">
        <v>558</v>
      </c>
      <c r="C53" s="484">
        <f>Sep20!O53</f>
        <v>0</v>
      </c>
      <c r="D53" s="10">
        <f>Sep20!P53</f>
        <v>0</v>
      </c>
      <c r="E53" s="14"/>
      <c r="F53" s="12"/>
      <c r="G53" s="14"/>
      <c r="H53" s="12"/>
      <c r="I53" s="14"/>
      <c r="J53" s="12"/>
      <c r="K53" s="14"/>
      <c r="L53" s="12"/>
      <c r="M53" s="9"/>
      <c r="N53" s="52"/>
      <c r="O53" s="18">
        <f t="shared" si="0"/>
        <v>0</v>
      </c>
      <c r="P53" s="122"/>
    </row>
    <row r="54" spans="1:16" s="29" customFormat="1" ht="12.75">
      <c r="A54" s="54" t="s">
        <v>15</v>
      </c>
      <c r="B54" s="506" t="s">
        <v>132</v>
      </c>
      <c r="C54" s="6">
        <f>Sep20!O54</f>
        <v>327763.39</v>
      </c>
      <c r="D54" s="10">
        <f>Sep20!P54</f>
        <v>0</v>
      </c>
      <c r="E54" s="14"/>
      <c r="F54" s="12"/>
      <c r="G54" s="14"/>
      <c r="H54" s="12"/>
      <c r="I54" s="14"/>
      <c r="J54" s="12"/>
      <c r="K54" s="14"/>
      <c r="L54" s="12"/>
      <c r="M54" s="9"/>
      <c r="N54" s="52"/>
      <c r="O54" s="18">
        <f t="shared" si="0"/>
        <v>327763.39</v>
      </c>
      <c r="P54" s="122">
        <f aca="true" t="shared" si="1" ref="P54:P66">D54+F54+J54+N54+H54-E54-G54-I54-M54+L54-K54</f>
        <v>0</v>
      </c>
    </row>
    <row r="55" spans="1:16" s="29" customFormat="1" ht="12.75">
      <c r="A55" s="8"/>
      <c r="B55" s="508"/>
      <c r="C55" s="484">
        <f>Sep20!O55</f>
        <v>0</v>
      </c>
      <c r="D55" s="10">
        <f>Sep20!P55</f>
        <v>0</v>
      </c>
      <c r="E55" s="14"/>
      <c r="F55" s="12"/>
      <c r="G55" s="14"/>
      <c r="H55" s="12"/>
      <c r="I55" s="14"/>
      <c r="J55" s="12"/>
      <c r="K55" s="14"/>
      <c r="L55" s="12"/>
      <c r="M55" s="9"/>
      <c r="N55" s="52"/>
      <c r="O55" s="18"/>
      <c r="P55" s="122"/>
    </row>
    <row r="56" spans="1:16" s="29" customFormat="1" ht="12.75">
      <c r="A56" s="7" t="s">
        <v>16</v>
      </c>
      <c r="B56" s="508"/>
      <c r="C56" s="6">
        <f>Sep20!O56</f>
        <v>0</v>
      </c>
      <c r="D56" s="10">
        <f>Sep20!P56</f>
        <v>0</v>
      </c>
      <c r="E56" s="14"/>
      <c r="F56" s="12"/>
      <c r="G56" s="14"/>
      <c r="H56" s="12"/>
      <c r="I56" s="14"/>
      <c r="J56" s="12"/>
      <c r="K56" s="14"/>
      <c r="L56" s="12"/>
      <c r="M56" s="9"/>
      <c r="N56" s="52"/>
      <c r="O56" s="18"/>
      <c r="P56" s="122"/>
    </row>
    <row r="57" spans="1:16" s="29" customFormat="1" ht="12.75">
      <c r="A57" s="49" t="s">
        <v>31</v>
      </c>
      <c r="B57" s="506" t="s">
        <v>133</v>
      </c>
      <c r="C57" s="484">
        <f>Sep20!O57</f>
        <v>0</v>
      </c>
      <c r="D57" s="10">
        <f>Sep20!P57</f>
        <v>35250</v>
      </c>
      <c r="E57" s="14"/>
      <c r="F57" s="12"/>
      <c r="G57" s="14"/>
      <c r="H57" s="12"/>
      <c r="I57" s="14"/>
      <c r="J57" s="12"/>
      <c r="K57" s="14"/>
      <c r="L57" s="12"/>
      <c r="M57" s="9"/>
      <c r="N57" s="52"/>
      <c r="O57" s="18"/>
      <c r="P57" s="122">
        <f t="shared" si="1"/>
        <v>35250</v>
      </c>
    </row>
    <row r="58" spans="1:17" s="29" customFormat="1" ht="12.75">
      <c r="A58" s="49" t="s">
        <v>46</v>
      </c>
      <c r="B58" s="506" t="s">
        <v>134</v>
      </c>
      <c r="C58" s="6">
        <f>Sep20!O58</f>
        <v>0</v>
      </c>
      <c r="D58" s="10">
        <f>Sep20!P58</f>
        <v>250699.77999999997</v>
      </c>
      <c r="E58" s="14"/>
      <c r="F58" s="12">
        <v>330084.43</v>
      </c>
      <c r="G58" s="14"/>
      <c r="H58" s="12"/>
      <c r="I58" s="14"/>
      <c r="J58" s="12"/>
      <c r="K58" s="14"/>
      <c r="L58" s="12"/>
      <c r="M58" s="9">
        <v>250699.78</v>
      </c>
      <c r="N58" s="52"/>
      <c r="O58" s="18"/>
      <c r="P58" s="122">
        <f t="shared" si="1"/>
        <v>330084.42999999993</v>
      </c>
      <c r="Q58" s="55"/>
    </row>
    <row r="59" spans="1:17" s="29" customFormat="1" ht="12.75" customHeight="1">
      <c r="A59" s="74" t="s">
        <v>685</v>
      </c>
      <c r="B59" s="507" t="s">
        <v>684</v>
      </c>
      <c r="C59" s="484">
        <f>Sep20!O59</f>
        <v>0</v>
      </c>
      <c r="D59" s="10">
        <f>Sep20!P59</f>
        <v>577998.4200000002</v>
      </c>
      <c r="E59" s="14"/>
      <c r="F59" s="12">
        <v>99825.48</v>
      </c>
      <c r="G59" s="14"/>
      <c r="H59" s="12"/>
      <c r="I59" s="14"/>
      <c r="J59" s="12"/>
      <c r="K59" s="14"/>
      <c r="L59" s="12"/>
      <c r="M59" s="9"/>
      <c r="N59" s="52"/>
      <c r="O59" s="18"/>
      <c r="P59" s="122">
        <f t="shared" si="1"/>
        <v>677823.9000000001</v>
      </c>
      <c r="Q59" s="55"/>
    </row>
    <row r="60" spans="1:17" s="29" customFormat="1" ht="12.75" customHeight="1">
      <c r="A60" s="74" t="s">
        <v>686</v>
      </c>
      <c r="B60" s="507" t="s">
        <v>688</v>
      </c>
      <c r="C60" s="6">
        <f>Sep20!O60</f>
        <v>0</v>
      </c>
      <c r="D60" s="10">
        <f>Sep20!P60</f>
        <v>10448.259999999951</v>
      </c>
      <c r="E60" s="14"/>
      <c r="F60" s="12">
        <v>96425.92</v>
      </c>
      <c r="G60" s="14"/>
      <c r="H60" s="12"/>
      <c r="I60" s="14"/>
      <c r="J60" s="12"/>
      <c r="K60" s="14"/>
      <c r="L60" s="12"/>
      <c r="M60" s="9"/>
      <c r="N60" s="52"/>
      <c r="O60" s="18"/>
      <c r="P60" s="122">
        <f t="shared" si="1"/>
        <v>106874.17999999995</v>
      </c>
      <c r="Q60" s="55"/>
    </row>
    <row r="61" spans="1:16" s="29" customFormat="1" ht="12.75">
      <c r="A61" s="74" t="s">
        <v>687</v>
      </c>
      <c r="B61" s="507" t="s">
        <v>689</v>
      </c>
      <c r="C61" s="484">
        <f>Sep20!O61</f>
        <v>0</v>
      </c>
      <c r="D61" s="10">
        <f>Sep20!P61</f>
        <v>11777.859999999997</v>
      </c>
      <c r="E61" s="14"/>
      <c r="F61" s="12">
        <v>64199.35</v>
      </c>
      <c r="G61" s="14"/>
      <c r="H61" s="12"/>
      <c r="I61" s="14"/>
      <c r="J61" s="12"/>
      <c r="K61" s="14"/>
      <c r="L61" s="12"/>
      <c r="M61" s="9"/>
      <c r="N61" s="52"/>
      <c r="O61" s="18"/>
      <c r="P61" s="122">
        <f t="shared" si="1"/>
        <v>75977.20999999999</v>
      </c>
    </row>
    <row r="62" spans="1:16" s="29" customFormat="1" ht="12.75">
      <c r="A62" s="49" t="s">
        <v>690</v>
      </c>
      <c r="B62" s="506" t="s">
        <v>692</v>
      </c>
      <c r="C62" s="6">
        <f>Sep20!O62</f>
        <v>0</v>
      </c>
      <c r="D62" s="10">
        <f>Sep20!P62</f>
        <v>5526.36</v>
      </c>
      <c r="E62" s="14">
        <v>3084.68</v>
      </c>
      <c r="F62" s="12">
        <v>3084.68</v>
      </c>
      <c r="G62" s="14"/>
      <c r="H62" s="12"/>
      <c r="I62" s="14"/>
      <c r="J62" s="12"/>
      <c r="K62" s="14"/>
      <c r="L62" s="12"/>
      <c r="M62" s="9"/>
      <c r="N62" s="52"/>
      <c r="O62" s="18"/>
      <c r="P62" s="122">
        <f t="shared" si="1"/>
        <v>5526.359999999999</v>
      </c>
    </row>
    <row r="63" spans="1:17" s="29" customFormat="1" ht="12.75">
      <c r="A63" s="49" t="s">
        <v>691</v>
      </c>
      <c r="B63" s="506" t="s">
        <v>693</v>
      </c>
      <c r="C63" s="484">
        <f>Sep20!O63</f>
        <v>0</v>
      </c>
      <c r="D63" s="10">
        <f>Sep20!P63</f>
        <v>2084.6699999999996</v>
      </c>
      <c r="E63" s="14">
        <v>518.45</v>
      </c>
      <c r="F63" s="12">
        <v>518.45</v>
      </c>
      <c r="G63" s="14"/>
      <c r="H63" s="12"/>
      <c r="I63" s="14"/>
      <c r="J63" s="12"/>
      <c r="K63" s="14"/>
      <c r="L63" s="12"/>
      <c r="M63" s="9"/>
      <c r="N63" s="52"/>
      <c r="O63" s="18"/>
      <c r="P63" s="122">
        <f t="shared" si="1"/>
        <v>2084.67</v>
      </c>
      <c r="Q63" s="55"/>
    </row>
    <row r="64" spans="1:17" s="29" customFormat="1" ht="12.75">
      <c r="A64" s="49" t="s">
        <v>47</v>
      </c>
      <c r="B64" s="506" t="s">
        <v>137</v>
      </c>
      <c r="C64" s="6">
        <f>Sep20!O64</f>
        <v>0</v>
      </c>
      <c r="D64" s="10">
        <f>Sep20!P64</f>
        <v>15715.050000000007</v>
      </c>
      <c r="E64" s="14">
        <v>12757.53</v>
      </c>
      <c r="F64" s="12">
        <v>12757.56</v>
      </c>
      <c r="G64" s="14"/>
      <c r="H64" s="12"/>
      <c r="I64" s="14"/>
      <c r="J64" s="12"/>
      <c r="K64" s="14"/>
      <c r="L64" s="12"/>
      <c r="M64" s="9"/>
      <c r="N64" s="14"/>
      <c r="O64" s="18"/>
      <c r="P64" s="122">
        <f t="shared" si="1"/>
        <v>15715.080000000007</v>
      </c>
      <c r="Q64" s="55"/>
    </row>
    <row r="65" spans="1:17" s="29" customFormat="1" ht="12.75">
      <c r="A65" s="74" t="s">
        <v>59</v>
      </c>
      <c r="B65" s="507" t="s">
        <v>138</v>
      </c>
      <c r="C65" s="484">
        <f>Sep20!O65</f>
        <v>0</v>
      </c>
      <c r="D65" s="10">
        <f>Sep20!P65</f>
        <v>-1868.03999999995</v>
      </c>
      <c r="E65" s="14">
        <v>44683.77</v>
      </c>
      <c r="F65" s="12">
        <v>77332.06</v>
      </c>
      <c r="G65" s="14"/>
      <c r="H65" s="12"/>
      <c r="I65" s="14"/>
      <c r="J65" s="12"/>
      <c r="K65" s="14"/>
      <c r="L65" s="12"/>
      <c r="M65" s="9"/>
      <c r="N65" s="52"/>
      <c r="O65" s="18"/>
      <c r="P65" s="122">
        <f t="shared" si="1"/>
        <v>30780.25000000005</v>
      </c>
      <c r="Q65" s="55"/>
    </row>
    <row r="66" spans="1:16" s="29" customFormat="1" ht="12.75">
      <c r="A66" s="49" t="s">
        <v>17</v>
      </c>
      <c r="B66" s="506" t="s">
        <v>139</v>
      </c>
      <c r="C66" s="6">
        <f>Sep20!O66</f>
        <v>0</v>
      </c>
      <c r="D66" s="10">
        <f>Sep20!P66</f>
        <v>0</v>
      </c>
      <c r="E66" s="14"/>
      <c r="F66" s="12"/>
      <c r="G66" s="14"/>
      <c r="H66" s="12"/>
      <c r="I66" s="14"/>
      <c r="J66" s="12"/>
      <c r="K66" s="14"/>
      <c r="L66" s="12"/>
      <c r="M66" s="9"/>
      <c r="N66" s="52"/>
      <c r="O66" s="18"/>
      <c r="P66" s="122">
        <f t="shared" si="1"/>
        <v>0</v>
      </c>
    </row>
    <row r="67" spans="1:17" s="29" customFormat="1" ht="12.75">
      <c r="A67" s="8"/>
      <c r="B67" s="508"/>
      <c r="C67" s="484">
        <f>Sep20!O67</f>
        <v>0</v>
      </c>
      <c r="D67" s="10">
        <f>Sep20!P67</f>
        <v>0</v>
      </c>
      <c r="E67" s="14"/>
      <c r="F67" s="12"/>
      <c r="G67" s="14"/>
      <c r="H67" s="12"/>
      <c r="I67" s="14"/>
      <c r="J67" s="12"/>
      <c r="K67" s="14"/>
      <c r="L67" s="12"/>
      <c r="M67" s="9"/>
      <c r="N67" s="52"/>
      <c r="O67" s="18"/>
      <c r="P67" s="122"/>
      <c r="Q67" s="55"/>
    </row>
    <row r="68" spans="1:16" s="29" customFormat="1" ht="12.75">
      <c r="A68" s="7" t="s">
        <v>32</v>
      </c>
      <c r="B68" s="508"/>
      <c r="C68" s="6">
        <f>Sep20!O68</f>
        <v>0</v>
      </c>
      <c r="D68" s="10">
        <f>Sep20!P68</f>
        <v>0</v>
      </c>
      <c r="E68" s="27"/>
      <c r="F68" s="28"/>
      <c r="G68" s="27"/>
      <c r="H68" s="28"/>
      <c r="I68" s="27"/>
      <c r="J68" s="28"/>
      <c r="K68" s="27"/>
      <c r="L68" s="28"/>
      <c r="M68" s="25"/>
      <c r="N68" s="26"/>
      <c r="O68" s="18"/>
      <c r="P68" s="122"/>
    </row>
    <row r="69" spans="1:16" s="29" customFormat="1" ht="12.75">
      <c r="A69" s="49" t="s">
        <v>18</v>
      </c>
      <c r="B69" s="506" t="s">
        <v>140</v>
      </c>
      <c r="C69" s="484">
        <f>Sep20!O69</f>
        <v>0</v>
      </c>
      <c r="D69" s="10">
        <f>Sep20!P69</f>
        <v>93682852.88</v>
      </c>
      <c r="E69" s="27"/>
      <c r="F69" s="28"/>
      <c r="G69" s="27"/>
      <c r="H69" s="28"/>
      <c r="I69" s="27"/>
      <c r="J69" s="28"/>
      <c r="K69" s="27"/>
      <c r="L69" s="28"/>
      <c r="M69" s="25"/>
      <c r="N69" s="26"/>
      <c r="O69" s="18"/>
      <c r="P69" s="122">
        <f>D69+F69+J69+N69+H69-E69-G69-I69-M69+L69-K69</f>
        <v>93682852.88</v>
      </c>
    </row>
    <row r="70" spans="1:17" s="29" customFormat="1" ht="12.75">
      <c r="A70" s="49" t="s">
        <v>142</v>
      </c>
      <c r="B70" s="508" t="s">
        <v>141</v>
      </c>
      <c r="C70" s="6">
        <f>Sep20!O70</f>
        <v>0</v>
      </c>
      <c r="D70" s="10">
        <f>Sep20!P70</f>
        <v>96504628.10999998</v>
      </c>
      <c r="E70" s="27"/>
      <c r="F70" s="28"/>
      <c r="G70" s="27"/>
      <c r="H70" s="28"/>
      <c r="I70" s="27"/>
      <c r="J70" s="28"/>
      <c r="K70" s="27"/>
      <c r="L70" s="28"/>
      <c r="M70" s="25"/>
      <c r="N70" s="26">
        <f>25183540+250699.78</f>
        <v>25434239.78</v>
      </c>
      <c r="O70" s="18"/>
      <c r="P70" s="122">
        <f>D70+F70+J70+N70+H70-E70-G70-I70-M70+L70-K70</f>
        <v>121938867.88999999</v>
      </c>
      <c r="Q70" s="245"/>
    </row>
    <row r="71" spans="1:17" s="29" customFormat="1" ht="12.75">
      <c r="A71" s="49" t="s">
        <v>673</v>
      </c>
      <c r="B71" s="249" t="s">
        <v>745</v>
      </c>
      <c r="C71" s="484">
        <f>Sep20!O71</f>
        <v>0</v>
      </c>
      <c r="D71" s="10">
        <f>Sep20!P71</f>
        <v>78268264.97</v>
      </c>
      <c r="E71" s="27"/>
      <c r="F71" s="28"/>
      <c r="G71" s="27"/>
      <c r="H71" s="28"/>
      <c r="I71" s="27"/>
      <c r="J71" s="28"/>
      <c r="K71" s="27"/>
      <c r="L71" s="28"/>
      <c r="M71" s="25"/>
      <c r="N71" s="26">
        <f>80000+900000</f>
        <v>980000</v>
      </c>
      <c r="O71" s="18"/>
      <c r="P71" s="122">
        <f>D71+F71+J71+N71+H71-E71-G71-I71-M71+L71-K71</f>
        <v>79248264.97</v>
      </c>
      <c r="Q71" s="532"/>
    </row>
    <row r="72" spans="1:17" s="29" customFormat="1" ht="12.75">
      <c r="A72" s="49"/>
      <c r="B72" s="508"/>
      <c r="C72" s="6">
        <f>Sep20!O72</f>
        <v>0</v>
      </c>
      <c r="D72" s="10">
        <f>Sep20!P72</f>
        <v>0</v>
      </c>
      <c r="E72" s="27"/>
      <c r="F72" s="28"/>
      <c r="G72" s="27"/>
      <c r="H72" s="28"/>
      <c r="I72" s="27"/>
      <c r="J72" s="28"/>
      <c r="K72" s="27"/>
      <c r="L72" s="28"/>
      <c r="M72" s="25"/>
      <c r="N72" s="26"/>
      <c r="O72" s="18"/>
      <c r="P72" s="62"/>
      <c r="Q72" s="245"/>
    </row>
    <row r="73" spans="1:17" s="29" customFormat="1" ht="12.75">
      <c r="A73" s="4" t="s">
        <v>19</v>
      </c>
      <c r="B73" s="509"/>
      <c r="C73" s="484">
        <f>Sep20!O73</f>
        <v>0</v>
      </c>
      <c r="D73" s="10">
        <f>Sep20!P73</f>
        <v>0</v>
      </c>
      <c r="E73" s="27"/>
      <c r="F73" s="28"/>
      <c r="G73" s="27"/>
      <c r="H73" s="28"/>
      <c r="I73" s="27"/>
      <c r="J73" s="28"/>
      <c r="K73" s="27"/>
      <c r="L73" s="28"/>
      <c r="M73" s="25"/>
      <c r="N73" s="26"/>
      <c r="O73" s="18"/>
      <c r="P73" s="62"/>
      <c r="Q73" s="245"/>
    </row>
    <row r="74" spans="1:17" s="29" customFormat="1" ht="12.75">
      <c r="A74" s="23" t="s">
        <v>143</v>
      </c>
      <c r="B74" s="250" t="s">
        <v>144</v>
      </c>
      <c r="C74" s="6">
        <f>Sep20!O74</f>
        <v>11022446.899999999</v>
      </c>
      <c r="D74" s="10">
        <f>Sep20!P74</f>
        <v>0</v>
      </c>
      <c r="E74" s="27">
        <v>1111805.03</v>
      </c>
      <c r="F74" s="28"/>
      <c r="G74" s="27"/>
      <c r="H74" s="28"/>
      <c r="I74" s="27"/>
      <c r="J74" s="28"/>
      <c r="K74" s="27"/>
      <c r="L74" s="28"/>
      <c r="M74" s="25"/>
      <c r="N74" s="26"/>
      <c r="O74" s="18">
        <f t="shared" si="0"/>
        <v>12134251.929999998</v>
      </c>
      <c r="P74" s="62"/>
      <c r="Q74" s="245"/>
    </row>
    <row r="75" spans="1:17" s="29" customFormat="1" ht="12.75">
      <c r="A75" s="23" t="s">
        <v>20</v>
      </c>
      <c r="B75" s="250" t="s">
        <v>145</v>
      </c>
      <c r="C75" s="484">
        <f>Sep20!O75</f>
        <v>383000</v>
      </c>
      <c r="D75" s="10">
        <f>Sep20!P75</f>
        <v>0</v>
      </c>
      <c r="E75" s="27">
        <v>42000</v>
      </c>
      <c r="F75" s="28"/>
      <c r="G75" s="27"/>
      <c r="H75" s="28"/>
      <c r="I75" s="27"/>
      <c r="J75" s="28"/>
      <c r="K75" s="27"/>
      <c r="L75" s="28"/>
      <c r="M75" s="25"/>
      <c r="N75" s="26"/>
      <c r="O75" s="18">
        <f t="shared" si="0"/>
        <v>425000</v>
      </c>
      <c r="P75" s="62"/>
      <c r="Q75" s="245"/>
    </row>
    <row r="76" spans="1:17" s="29" customFormat="1" ht="12.75">
      <c r="A76" s="23" t="s">
        <v>21</v>
      </c>
      <c r="B76" s="250" t="s">
        <v>146</v>
      </c>
      <c r="C76" s="6">
        <f>Sep20!O76</f>
        <v>171000</v>
      </c>
      <c r="D76" s="10">
        <f>Sep20!P76</f>
        <v>0</v>
      </c>
      <c r="E76" s="27">
        <v>19000</v>
      </c>
      <c r="F76" s="28"/>
      <c r="G76" s="27"/>
      <c r="H76" s="28"/>
      <c r="I76" s="27"/>
      <c r="J76" s="28"/>
      <c r="K76" s="27"/>
      <c r="L76" s="28"/>
      <c r="M76" s="25"/>
      <c r="N76" s="26"/>
      <c r="O76" s="18">
        <f t="shared" si="0"/>
        <v>190000</v>
      </c>
      <c r="P76" s="62"/>
      <c r="Q76" s="324"/>
    </row>
    <row r="77" spans="1:17" s="29" customFormat="1" ht="12.75">
      <c r="A77" s="23" t="s">
        <v>22</v>
      </c>
      <c r="B77" s="250" t="s">
        <v>147</v>
      </c>
      <c r="C77" s="484">
        <f>Sep20!O77</f>
        <v>171000</v>
      </c>
      <c r="D77" s="10">
        <f>Sep20!P77</f>
        <v>0</v>
      </c>
      <c r="E77" s="27">
        <v>19000</v>
      </c>
      <c r="F77" s="28"/>
      <c r="G77" s="27"/>
      <c r="H77" s="28"/>
      <c r="I77" s="27"/>
      <c r="J77" s="28"/>
      <c r="K77" s="27"/>
      <c r="L77" s="28"/>
      <c r="M77" s="25"/>
      <c r="N77" s="26"/>
      <c r="O77" s="18">
        <f t="shared" si="0"/>
        <v>190000</v>
      </c>
      <c r="P77" s="62"/>
      <c r="Q77" s="245"/>
    </row>
    <row r="78" spans="1:17" s="29" customFormat="1" ht="12.75">
      <c r="A78" s="23" t="s">
        <v>67</v>
      </c>
      <c r="B78" s="250" t="s">
        <v>527</v>
      </c>
      <c r="C78" s="6">
        <f>Sep20!O78</f>
        <v>408000</v>
      </c>
      <c r="D78" s="10">
        <f>Sep20!P78</f>
        <v>0</v>
      </c>
      <c r="E78" s="27"/>
      <c r="F78" s="28"/>
      <c r="G78" s="27"/>
      <c r="H78" s="28"/>
      <c r="I78" s="27"/>
      <c r="J78" s="28"/>
      <c r="K78" s="27"/>
      <c r="L78" s="28"/>
      <c r="M78" s="25"/>
      <c r="N78" s="26"/>
      <c r="O78" s="18">
        <f t="shared" si="0"/>
        <v>408000</v>
      </c>
      <c r="P78" s="62"/>
      <c r="Q78" s="245"/>
    </row>
    <row r="79" spans="1:17" s="29" customFormat="1" ht="13.5" customHeight="1">
      <c r="A79" s="23" t="s">
        <v>149</v>
      </c>
      <c r="B79" s="250" t="s">
        <v>148</v>
      </c>
      <c r="C79" s="484">
        <f>Sep20!O79</f>
        <v>0</v>
      </c>
      <c r="D79" s="10">
        <f>Sep20!P79</f>
        <v>0</v>
      </c>
      <c r="E79" s="27"/>
      <c r="F79" s="28"/>
      <c r="G79" s="27"/>
      <c r="H79" s="28"/>
      <c r="I79" s="27"/>
      <c r="J79" s="28"/>
      <c r="K79" s="27"/>
      <c r="L79" s="28"/>
      <c r="M79" s="25"/>
      <c r="N79" s="26"/>
      <c r="O79" s="18">
        <f t="shared" si="0"/>
        <v>0</v>
      </c>
      <c r="P79" s="62"/>
      <c r="Q79" s="245"/>
    </row>
    <row r="80" spans="1:17" s="29" customFormat="1" ht="13.5" customHeight="1">
      <c r="A80" s="23" t="s">
        <v>66</v>
      </c>
      <c r="B80" s="250" t="s">
        <v>150</v>
      </c>
      <c r="C80" s="6">
        <f>Sep20!O80</f>
        <v>0</v>
      </c>
      <c r="D80" s="10">
        <f>Sep20!P80</f>
        <v>0</v>
      </c>
      <c r="E80" s="27"/>
      <c r="F80" s="28"/>
      <c r="G80" s="27"/>
      <c r="H80" s="28"/>
      <c r="I80" s="27"/>
      <c r="J80" s="28"/>
      <c r="K80" s="27"/>
      <c r="L80" s="28"/>
      <c r="M80" s="25"/>
      <c r="N80" s="26"/>
      <c r="O80" s="18">
        <f t="shared" si="0"/>
        <v>0</v>
      </c>
      <c r="P80" s="62"/>
      <c r="Q80" s="324"/>
    </row>
    <row r="81" spans="1:17" s="29" customFormat="1" ht="13.5" customHeight="1">
      <c r="A81" s="23" t="s">
        <v>221</v>
      </c>
      <c r="B81" s="250" t="s">
        <v>537</v>
      </c>
      <c r="C81" s="484">
        <f>Sep20!O81</f>
        <v>0</v>
      </c>
      <c r="D81" s="10">
        <f>Sep20!P81</f>
        <v>0</v>
      </c>
      <c r="E81" s="27"/>
      <c r="F81" s="28"/>
      <c r="G81" s="27"/>
      <c r="H81" s="28"/>
      <c r="I81" s="27"/>
      <c r="J81" s="28"/>
      <c r="K81" s="27"/>
      <c r="L81" s="28"/>
      <c r="M81" s="25"/>
      <c r="N81" s="26"/>
      <c r="O81" s="18">
        <f t="shared" si="0"/>
        <v>0</v>
      </c>
      <c r="P81" s="62"/>
      <c r="Q81" s="324"/>
    </row>
    <row r="82" spans="1:17" s="29" customFormat="1" ht="13.5" customHeight="1">
      <c r="A82" s="23" t="s">
        <v>76</v>
      </c>
      <c r="B82" s="250" t="s">
        <v>153</v>
      </c>
      <c r="C82" s="6">
        <f>Sep20!O82</f>
        <v>0</v>
      </c>
      <c r="D82" s="10">
        <f>Sep20!P82</f>
        <v>0</v>
      </c>
      <c r="E82" s="27"/>
      <c r="F82" s="28"/>
      <c r="G82" s="27"/>
      <c r="H82" s="28"/>
      <c r="I82" s="27"/>
      <c r="J82" s="28"/>
      <c r="K82" s="27"/>
      <c r="L82" s="28"/>
      <c r="M82" s="25"/>
      <c r="N82" s="26"/>
      <c r="O82" s="18">
        <f t="shared" si="0"/>
        <v>0</v>
      </c>
      <c r="P82" s="62"/>
      <c r="Q82" s="324"/>
    </row>
    <row r="83" spans="1:17" s="29" customFormat="1" ht="13.5" customHeight="1">
      <c r="A83" s="23" t="s">
        <v>242</v>
      </c>
      <c r="B83" s="250" t="s">
        <v>234</v>
      </c>
      <c r="C83" s="484">
        <f>Sep20!O83</f>
        <v>0</v>
      </c>
      <c r="D83" s="10">
        <f>Sep20!P83</f>
        <v>0</v>
      </c>
      <c r="E83" s="27"/>
      <c r="F83" s="28"/>
      <c r="G83" s="27"/>
      <c r="H83" s="28"/>
      <c r="I83" s="27"/>
      <c r="J83" s="28"/>
      <c r="K83" s="27"/>
      <c r="L83" s="28"/>
      <c r="M83" s="25"/>
      <c r="N83" s="26"/>
      <c r="O83" s="18">
        <f aca="true" t="shared" si="2" ref="O83:O146">C83+E83+I83+M83-D83-F83-J83-N83+G83-H83+K83-L83</f>
        <v>0</v>
      </c>
      <c r="P83" s="62"/>
      <c r="Q83" s="324"/>
    </row>
    <row r="84" spans="1:17" s="29" customFormat="1" ht="12.75">
      <c r="A84" s="23" t="s">
        <v>75</v>
      </c>
      <c r="B84" s="250" t="s">
        <v>152</v>
      </c>
      <c r="C84" s="6">
        <f>Sep20!O84</f>
        <v>0</v>
      </c>
      <c r="D84" s="10">
        <f>Sep20!P84</f>
        <v>0</v>
      </c>
      <c r="E84" s="27"/>
      <c r="F84" s="28"/>
      <c r="G84" s="27"/>
      <c r="H84" s="28"/>
      <c r="I84" s="27"/>
      <c r="J84" s="28"/>
      <c r="K84" s="27"/>
      <c r="L84" s="28"/>
      <c r="M84" s="25"/>
      <c r="N84" s="26"/>
      <c r="O84" s="18">
        <f t="shared" si="2"/>
        <v>0</v>
      </c>
      <c r="P84" s="62"/>
      <c r="Q84" s="245"/>
    </row>
    <row r="85" spans="1:17" s="29" customFormat="1" ht="12.75">
      <c r="A85" s="23" t="s">
        <v>70</v>
      </c>
      <c r="B85" s="250" t="s">
        <v>151</v>
      </c>
      <c r="C85" s="484">
        <f>Sep20!O85</f>
        <v>0</v>
      </c>
      <c r="D85" s="10">
        <f>Sep20!P85</f>
        <v>0</v>
      </c>
      <c r="E85" s="27"/>
      <c r="F85" s="28"/>
      <c r="G85" s="27"/>
      <c r="H85" s="28"/>
      <c r="I85" s="27"/>
      <c r="J85" s="28"/>
      <c r="K85" s="27"/>
      <c r="L85" s="28"/>
      <c r="M85" s="25"/>
      <c r="N85" s="26"/>
      <c r="O85" s="18">
        <f t="shared" si="2"/>
        <v>0</v>
      </c>
      <c r="P85" s="62"/>
      <c r="Q85" s="245"/>
    </row>
    <row r="86" spans="1:17" s="29" customFormat="1" ht="12.75">
      <c r="A86" s="23" t="s">
        <v>562</v>
      </c>
      <c r="B86" s="250" t="s">
        <v>563</v>
      </c>
      <c r="C86" s="6">
        <f>Sep20!O86</f>
        <v>193000</v>
      </c>
      <c r="D86" s="10">
        <f>Sep20!P86</f>
        <v>0</v>
      </c>
      <c r="E86" s="27"/>
      <c r="F86" s="28"/>
      <c r="G86" s="27"/>
      <c r="H86" s="28"/>
      <c r="I86" s="27"/>
      <c r="J86" s="28"/>
      <c r="K86" s="27"/>
      <c r="L86" s="28"/>
      <c r="M86" s="25"/>
      <c r="N86" s="26"/>
      <c r="O86" s="18">
        <f t="shared" si="2"/>
        <v>193000</v>
      </c>
      <c r="P86" s="62"/>
      <c r="Q86" s="245"/>
    </row>
    <row r="87" spans="1:17" s="29" customFormat="1" ht="12.75">
      <c r="A87" s="23" t="s">
        <v>564</v>
      </c>
      <c r="B87" s="250" t="s">
        <v>565</v>
      </c>
      <c r="C87" s="484">
        <f>Sep20!O87</f>
        <v>0</v>
      </c>
      <c r="D87" s="10">
        <f>Sep20!P87</f>
        <v>0</v>
      </c>
      <c r="E87" s="27"/>
      <c r="F87" s="28"/>
      <c r="G87" s="27"/>
      <c r="H87" s="28"/>
      <c r="I87" s="27"/>
      <c r="J87" s="28"/>
      <c r="K87" s="27"/>
      <c r="L87" s="28"/>
      <c r="M87" s="25"/>
      <c r="N87" s="26"/>
      <c r="O87" s="18">
        <f t="shared" si="2"/>
        <v>0</v>
      </c>
      <c r="P87" s="62"/>
      <c r="Q87" s="245"/>
    </row>
    <row r="88" spans="1:17" s="29" customFormat="1" ht="12.75">
      <c r="A88" s="23" t="s">
        <v>553</v>
      </c>
      <c r="B88" s="250" t="s">
        <v>554</v>
      </c>
      <c r="C88" s="6">
        <f>Sep20!O88</f>
        <v>0</v>
      </c>
      <c r="D88" s="10">
        <f>Sep20!P88</f>
        <v>0</v>
      </c>
      <c r="E88" s="27"/>
      <c r="F88" s="28"/>
      <c r="G88" s="27"/>
      <c r="H88" s="28"/>
      <c r="I88" s="27"/>
      <c r="J88" s="28"/>
      <c r="K88" s="27"/>
      <c r="L88" s="28"/>
      <c r="M88" s="25"/>
      <c r="N88" s="26"/>
      <c r="O88" s="18">
        <f t="shared" si="2"/>
        <v>0</v>
      </c>
      <c r="P88" s="62"/>
      <c r="Q88" s="245"/>
    </row>
    <row r="89" spans="1:17" s="29" customFormat="1" ht="12.75">
      <c r="A89" s="23" t="s">
        <v>33</v>
      </c>
      <c r="B89" s="250" t="s">
        <v>154</v>
      </c>
      <c r="C89" s="484">
        <f>Sep20!O89</f>
        <v>274097.64</v>
      </c>
      <c r="D89" s="10">
        <f>Sep20!P89</f>
        <v>0</v>
      </c>
      <c r="E89" s="27"/>
      <c r="F89" s="28"/>
      <c r="G89" s="27"/>
      <c r="H89" s="28"/>
      <c r="I89" s="27"/>
      <c r="J89" s="28"/>
      <c r="K89" s="27"/>
      <c r="L89" s="28"/>
      <c r="M89" s="25"/>
      <c r="N89" s="26"/>
      <c r="O89" s="18">
        <f t="shared" si="2"/>
        <v>274097.64</v>
      </c>
      <c r="P89" s="62"/>
      <c r="Q89" s="324"/>
    </row>
    <row r="90" spans="1:17" s="29" customFormat="1" ht="12.75">
      <c r="A90" s="23" t="s">
        <v>34</v>
      </c>
      <c r="B90" s="250" t="s">
        <v>155</v>
      </c>
      <c r="C90" s="6">
        <f>Sep20!O90</f>
        <v>28062.12</v>
      </c>
      <c r="D90" s="10">
        <f>Sep20!P90</f>
        <v>0</v>
      </c>
      <c r="E90" s="27">
        <v>3084.68</v>
      </c>
      <c r="F90" s="28"/>
      <c r="G90" s="27"/>
      <c r="H90" s="28"/>
      <c r="I90" s="27"/>
      <c r="J90" s="28"/>
      <c r="K90" s="27"/>
      <c r="L90" s="28"/>
      <c r="M90" s="25"/>
      <c r="N90" s="26"/>
      <c r="O90" s="18">
        <f t="shared" si="2"/>
        <v>31146.8</v>
      </c>
      <c r="P90" s="62"/>
      <c r="Q90" s="245"/>
    </row>
    <row r="91" spans="1:17" s="29" customFormat="1" ht="12.75">
      <c r="A91" s="23" t="s">
        <v>35</v>
      </c>
      <c r="B91" s="250" t="s">
        <v>156</v>
      </c>
      <c r="C91" s="484">
        <f>Sep20!O91</f>
        <v>130267</v>
      </c>
      <c r="D91" s="10">
        <f>Sep20!P91</f>
        <v>0</v>
      </c>
      <c r="E91" s="27">
        <v>12757.59</v>
      </c>
      <c r="F91" s="28"/>
      <c r="G91" s="27"/>
      <c r="H91" s="28"/>
      <c r="I91" s="27"/>
      <c r="J91" s="28"/>
      <c r="K91" s="27"/>
      <c r="L91" s="28"/>
      <c r="M91" s="25"/>
      <c r="N91" s="26"/>
      <c r="O91" s="18">
        <f t="shared" si="2"/>
        <v>143024.59</v>
      </c>
      <c r="P91" s="62"/>
      <c r="Q91" s="245"/>
    </row>
    <row r="92" spans="1:17" s="29" customFormat="1" ht="12.75" customHeight="1">
      <c r="A92" s="23" t="s">
        <v>36</v>
      </c>
      <c r="B92" s="250" t="s">
        <v>157</v>
      </c>
      <c r="C92" s="6">
        <f>Sep20!O92</f>
        <v>18200</v>
      </c>
      <c r="D92" s="10">
        <f>Sep20!P92</f>
        <v>0</v>
      </c>
      <c r="E92" s="27"/>
      <c r="F92" s="28"/>
      <c r="G92" s="27"/>
      <c r="H92" s="28"/>
      <c r="I92" s="27"/>
      <c r="J92" s="28"/>
      <c r="K92" s="27"/>
      <c r="L92" s="28"/>
      <c r="M92" s="25"/>
      <c r="N92" s="26"/>
      <c r="O92" s="18">
        <f t="shared" si="2"/>
        <v>18200</v>
      </c>
      <c r="P92" s="62"/>
      <c r="Q92" s="245"/>
    </row>
    <row r="93" spans="1:17" s="29" customFormat="1" ht="12.75">
      <c r="A93" s="23" t="s">
        <v>698</v>
      </c>
      <c r="B93" s="250" t="s">
        <v>699</v>
      </c>
      <c r="C93" s="484">
        <f>Sep20!O93</f>
        <v>0</v>
      </c>
      <c r="D93" s="10">
        <f>Sep20!P93</f>
        <v>0</v>
      </c>
      <c r="E93" s="27"/>
      <c r="F93" s="28"/>
      <c r="G93" s="27"/>
      <c r="H93" s="28"/>
      <c r="I93" s="27"/>
      <c r="J93" s="28"/>
      <c r="K93" s="27"/>
      <c r="L93" s="28"/>
      <c r="M93" s="25"/>
      <c r="N93" s="26"/>
      <c r="O93" s="18">
        <f t="shared" si="2"/>
        <v>0</v>
      </c>
      <c r="P93" s="62"/>
      <c r="Q93" s="245"/>
    </row>
    <row r="94" spans="1:17" s="29" customFormat="1" ht="12.75">
      <c r="A94" s="23" t="s">
        <v>208</v>
      </c>
      <c r="B94" s="250" t="s">
        <v>207</v>
      </c>
      <c r="C94" s="6">
        <f>Sep20!O94</f>
        <v>1471033.81</v>
      </c>
      <c r="D94" s="10">
        <f>Sep20!P94</f>
        <v>0</v>
      </c>
      <c r="E94" s="27"/>
      <c r="F94" s="28"/>
      <c r="G94" s="27"/>
      <c r="H94" s="28"/>
      <c r="I94" s="27"/>
      <c r="J94" s="28"/>
      <c r="K94" s="27"/>
      <c r="L94" s="28"/>
      <c r="M94" s="25"/>
      <c r="N94" s="26"/>
      <c r="O94" s="18">
        <f t="shared" si="2"/>
        <v>1471033.81</v>
      </c>
      <c r="P94" s="62"/>
      <c r="Q94" s="245"/>
    </row>
    <row r="95" spans="1:17" s="29" customFormat="1" ht="13.5" customHeight="1">
      <c r="A95" s="23" t="s">
        <v>719</v>
      </c>
      <c r="B95" s="250" t="s">
        <v>720</v>
      </c>
      <c r="C95" s="484">
        <f>Sep20!O95</f>
        <v>1047856.5</v>
      </c>
      <c r="D95" s="10">
        <f>Sep20!P95</f>
        <v>0</v>
      </c>
      <c r="E95" s="27"/>
      <c r="F95" s="28"/>
      <c r="G95" s="27"/>
      <c r="H95" s="28"/>
      <c r="I95" s="27"/>
      <c r="J95" s="28"/>
      <c r="K95" s="27"/>
      <c r="L95" s="28"/>
      <c r="M95" s="25"/>
      <c r="N95" s="26"/>
      <c r="O95" s="18">
        <f t="shared" si="2"/>
        <v>1047856.5</v>
      </c>
      <c r="P95" s="62"/>
      <c r="Q95" s="245"/>
    </row>
    <row r="96" spans="1:17" s="29" customFormat="1" ht="12.75">
      <c r="A96" s="23" t="s">
        <v>28</v>
      </c>
      <c r="B96" s="250" t="s">
        <v>158</v>
      </c>
      <c r="C96" s="6">
        <f>Sep20!O96</f>
        <v>586956.88</v>
      </c>
      <c r="D96" s="10">
        <f>Sep20!P96</f>
        <v>0</v>
      </c>
      <c r="E96" s="27"/>
      <c r="F96" s="28"/>
      <c r="G96" s="27"/>
      <c r="H96" s="28"/>
      <c r="I96" s="27"/>
      <c r="J96" s="28"/>
      <c r="K96" s="27"/>
      <c r="L96" s="28"/>
      <c r="M96" s="25"/>
      <c r="N96" s="26"/>
      <c r="O96" s="18">
        <f t="shared" si="2"/>
        <v>586956.88</v>
      </c>
      <c r="P96" s="62"/>
      <c r="Q96" s="245"/>
    </row>
    <row r="97" spans="1:17" s="29" customFormat="1" ht="12.75">
      <c r="A97" s="23" t="s">
        <v>243</v>
      </c>
      <c r="B97" s="250" t="s">
        <v>236</v>
      </c>
      <c r="C97" s="484">
        <f>Sep20!O97</f>
        <v>0</v>
      </c>
      <c r="D97" s="10">
        <f>Sep20!P97</f>
        <v>0</v>
      </c>
      <c r="E97" s="27"/>
      <c r="F97" s="28"/>
      <c r="G97" s="27"/>
      <c r="H97" s="28"/>
      <c r="I97" s="27"/>
      <c r="J97" s="28"/>
      <c r="K97" s="27"/>
      <c r="L97" s="28"/>
      <c r="M97" s="25"/>
      <c r="N97" s="26"/>
      <c r="O97" s="18">
        <f t="shared" si="2"/>
        <v>0</v>
      </c>
      <c r="P97" s="62"/>
      <c r="Q97" s="245"/>
    </row>
    <row r="98" spans="1:17" s="29" customFormat="1" ht="12.75">
      <c r="A98" s="23" t="s">
        <v>27</v>
      </c>
      <c r="B98" s="250" t="s">
        <v>159</v>
      </c>
      <c r="C98" s="6">
        <f>Sep20!O98</f>
        <v>3353311.25</v>
      </c>
      <c r="D98" s="10">
        <f>Sep20!P98</f>
        <v>0</v>
      </c>
      <c r="E98" s="27"/>
      <c r="F98" s="28"/>
      <c r="G98" s="27"/>
      <c r="H98" s="28"/>
      <c r="I98" s="27"/>
      <c r="J98" s="28"/>
      <c r="K98" s="27"/>
      <c r="L98" s="28"/>
      <c r="M98" s="25"/>
      <c r="N98" s="26"/>
      <c r="O98" s="18">
        <f t="shared" si="2"/>
        <v>3353311.25</v>
      </c>
      <c r="P98" s="62"/>
      <c r="Q98" s="324"/>
    </row>
    <row r="99" spans="1:17" s="29" customFormat="1" ht="12.75">
      <c r="A99" s="23" t="s">
        <v>160</v>
      </c>
      <c r="B99" s="250" t="s">
        <v>161</v>
      </c>
      <c r="C99" s="484">
        <f>Sep20!O99</f>
        <v>0</v>
      </c>
      <c r="D99" s="10">
        <f>Sep20!P99</f>
        <v>0</v>
      </c>
      <c r="E99" s="27"/>
      <c r="F99" s="28"/>
      <c r="G99" s="27"/>
      <c r="H99" s="28"/>
      <c r="I99" s="27"/>
      <c r="J99" s="28"/>
      <c r="K99" s="27"/>
      <c r="L99" s="28"/>
      <c r="M99" s="25"/>
      <c r="N99" s="26"/>
      <c r="O99" s="18">
        <f t="shared" si="2"/>
        <v>0</v>
      </c>
      <c r="P99" s="62"/>
      <c r="Q99" s="245"/>
    </row>
    <row r="100" spans="1:17" s="29" customFormat="1" ht="12.75">
      <c r="A100" s="23" t="s">
        <v>216</v>
      </c>
      <c r="B100" s="250" t="s">
        <v>162</v>
      </c>
      <c r="C100" s="6">
        <f>Sep20!O100</f>
        <v>11276.5</v>
      </c>
      <c r="D100" s="10">
        <f>Sep20!P100</f>
        <v>0</v>
      </c>
      <c r="E100" s="27">
        <v>800</v>
      </c>
      <c r="F100" s="28"/>
      <c r="G100" s="27"/>
      <c r="H100" s="28"/>
      <c r="I100" s="27"/>
      <c r="J100" s="28"/>
      <c r="K100" s="27"/>
      <c r="L100" s="28"/>
      <c r="M100" s="25"/>
      <c r="N100" s="26"/>
      <c r="O100" s="18">
        <f t="shared" si="2"/>
        <v>12076.5</v>
      </c>
      <c r="P100" s="62"/>
      <c r="Q100" s="245"/>
    </row>
    <row r="101" spans="1:17" s="29" customFormat="1" ht="12.75">
      <c r="A101" s="23" t="s">
        <v>56</v>
      </c>
      <c r="B101" s="250" t="s">
        <v>163</v>
      </c>
      <c r="C101" s="484">
        <f>Sep20!O101</f>
        <v>0</v>
      </c>
      <c r="D101" s="10">
        <f>Sep20!P101</f>
        <v>0</v>
      </c>
      <c r="E101" s="27"/>
      <c r="F101" s="28"/>
      <c r="G101" s="27"/>
      <c r="H101" s="28"/>
      <c r="I101" s="27"/>
      <c r="J101" s="28"/>
      <c r="K101" s="27"/>
      <c r="L101" s="28"/>
      <c r="M101" s="25"/>
      <c r="N101" s="26"/>
      <c r="O101" s="18">
        <f t="shared" si="2"/>
        <v>0</v>
      </c>
      <c r="P101" s="62"/>
      <c r="Q101" s="324"/>
    </row>
    <row r="102" spans="1:17" s="29" customFormat="1" ht="12.75">
      <c r="A102" s="23" t="s">
        <v>217</v>
      </c>
      <c r="B102" s="250" t="s">
        <v>218</v>
      </c>
      <c r="C102" s="6">
        <f>Sep20!O102</f>
        <v>0</v>
      </c>
      <c r="D102" s="10">
        <f>Sep20!P102</f>
        <v>0</v>
      </c>
      <c r="E102" s="27"/>
      <c r="F102" s="28"/>
      <c r="G102" s="27"/>
      <c r="H102" s="28"/>
      <c r="I102" s="27"/>
      <c r="J102" s="28"/>
      <c r="K102" s="27"/>
      <c r="L102" s="28"/>
      <c r="M102" s="25"/>
      <c r="N102" s="26"/>
      <c r="O102" s="18">
        <f t="shared" si="2"/>
        <v>0</v>
      </c>
      <c r="P102" s="62"/>
      <c r="Q102" s="324"/>
    </row>
    <row r="103" spans="1:17" s="29" customFormat="1" ht="12.75">
      <c r="A103" s="23" t="s">
        <v>164</v>
      </c>
      <c r="B103" s="250" t="s">
        <v>165</v>
      </c>
      <c r="C103" s="484">
        <f>Sep20!O103</f>
        <v>75897.74</v>
      </c>
      <c r="D103" s="10">
        <f>Sep20!P103</f>
        <v>0</v>
      </c>
      <c r="E103" s="27">
        <v>8740</v>
      </c>
      <c r="F103" s="28"/>
      <c r="G103" s="27"/>
      <c r="H103" s="28"/>
      <c r="I103" s="27"/>
      <c r="J103" s="28"/>
      <c r="K103" s="27"/>
      <c r="L103" s="28"/>
      <c r="M103" s="25"/>
      <c r="N103" s="26"/>
      <c r="O103" s="18">
        <f t="shared" si="2"/>
        <v>84637.74</v>
      </c>
      <c r="P103" s="62"/>
      <c r="Q103" s="245"/>
    </row>
    <row r="104" spans="1:17" s="29" customFormat="1" ht="12.75">
      <c r="A104" s="23" t="s">
        <v>570</v>
      </c>
      <c r="B104" s="250" t="s">
        <v>556</v>
      </c>
      <c r="C104" s="6">
        <f>Sep20!O104</f>
        <v>0</v>
      </c>
      <c r="D104" s="10">
        <f>Sep20!P104</f>
        <v>0</v>
      </c>
      <c r="E104" s="27"/>
      <c r="F104" s="28"/>
      <c r="G104" s="27"/>
      <c r="H104" s="28"/>
      <c r="I104" s="27"/>
      <c r="J104" s="28"/>
      <c r="K104" s="27"/>
      <c r="L104" s="28"/>
      <c r="M104" s="25"/>
      <c r="N104" s="26"/>
      <c r="O104" s="18">
        <f t="shared" si="2"/>
        <v>0</v>
      </c>
      <c r="P104" s="62"/>
      <c r="Q104" s="245"/>
    </row>
    <row r="105" spans="1:17" s="29" customFormat="1" ht="12.75">
      <c r="A105" s="23" t="s">
        <v>535</v>
      </c>
      <c r="B105" s="250" t="s">
        <v>521</v>
      </c>
      <c r="C105" s="484">
        <f>Sep20!O105</f>
        <v>0</v>
      </c>
      <c r="D105" s="10">
        <f>Sep20!P105</f>
        <v>0</v>
      </c>
      <c r="E105" s="27"/>
      <c r="F105" s="28"/>
      <c r="G105" s="27"/>
      <c r="H105" s="28"/>
      <c r="I105" s="27"/>
      <c r="J105" s="28"/>
      <c r="K105" s="27"/>
      <c r="L105" s="28"/>
      <c r="M105" s="25"/>
      <c r="N105" s="26"/>
      <c r="O105" s="18">
        <f t="shared" si="2"/>
        <v>0</v>
      </c>
      <c r="P105" s="62"/>
      <c r="Q105" s="245"/>
    </row>
    <row r="106" spans="1:17" s="29" customFormat="1" ht="12.75">
      <c r="A106" s="23" t="s">
        <v>536</v>
      </c>
      <c r="B106" s="250" t="s">
        <v>522</v>
      </c>
      <c r="C106" s="6">
        <f>Sep20!O106</f>
        <v>0</v>
      </c>
      <c r="D106" s="10">
        <f>Sep20!P106</f>
        <v>0</v>
      </c>
      <c r="E106" s="27"/>
      <c r="F106" s="28"/>
      <c r="G106" s="27"/>
      <c r="H106" s="28"/>
      <c r="I106" s="27"/>
      <c r="J106" s="28"/>
      <c r="K106" s="27"/>
      <c r="L106" s="28"/>
      <c r="M106" s="25"/>
      <c r="N106" s="26"/>
      <c r="O106" s="18">
        <f t="shared" si="2"/>
        <v>0</v>
      </c>
      <c r="P106" s="62"/>
      <c r="Q106" s="245"/>
    </row>
    <row r="107" spans="1:17" s="29" customFormat="1" ht="12.75" hidden="1">
      <c r="A107" s="23" t="s">
        <v>571</v>
      </c>
      <c r="B107" s="250" t="s">
        <v>572</v>
      </c>
      <c r="C107" s="484">
        <f>Sep20!O107</f>
        <v>0</v>
      </c>
      <c r="D107" s="10">
        <f>Sep20!P107</f>
        <v>0</v>
      </c>
      <c r="E107" s="27"/>
      <c r="F107" s="28"/>
      <c r="G107" s="27"/>
      <c r="H107" s="28"/>
      <c r="I107" s="27"/>
      <c r="J107" s="28"/>
      <c r="K107" s="27"/>
      <c r="L107" s="28"/>
      <c r="M107" s="25"/>
      <c r="N107" s="26"/>
      <c r="O107" s="18">
        <f t="shared" si="2"/>
        <v>0</v>
      </c>
      <c r="P107" s="62"/>
      <c r="Q107" s="245"/>
    </row>
    <row r="108" spans="1:17" s="29" customFormat="1" ht="12.75" hidden="1">
      <c r="A108" s="23" t="s">
        <v>573</v>
      </c>
      <c r="B108" s="250" t="s">
        <v>557</v>
      </c>
      <c r="C108" s="6">
        <f>Sep20!O108</f>
        <v>0</v>
      </c>
      <c r="D108" s="10">
        <f>Sep20!P108</f>
        <v>0</v>
      </c>
      <c r="E108" s="27"/>
      <c r="F108" s="28"/>
      <c r="G108" s="27"/>
      <c r="H108" s="28"/>
      <c r="I108" s="27"/>
      <c r="J108" s="28"/>
      <c r="K108" s="27"/>
      <c r="L108" s="28"/>
      <c r="M108" s="25"/>
      <c r="N108" s="26"/>
      <c r="O108" s="18">
        <f t="shared" si="2"/>
        <v>0</v>
      </c>
      <c r="P108" s="62"/>
      <c r="Q108" s="245"/>
    </row>
    <row r="109" spans="1:17" s="29" customFormat="1" ht="12.75" hidden="1">
      <c r="A109" s="23" t="s">
        <v>241</v>
      </c>
      <c r="B109" s="250" t="s">
        <v>235</v>
      </c>
      <c r="C109" s="484">
        <f>Sep20!O109</f>
        <v>0</v>
      </c>
      <c r="D109" s="10">
        <f>Sep20!P109</f>
        <v>0</v>
      </c>
      <c r="E109" s="27"/>
      <c r="F109" s="28"/>
      <c r="G109" s="27"/>
      <c r="H109" s="28"/>
      <c r="I109" s="27"/>
      <c r="J109" s="28"/>
      <c r="K109" s="27"/>
      <c r="L109" s="28"/>
      <c r="M109" s="25"/>
      <c r="N109" s="26"/>
      <c r="O109" s="18">
        <f t="shared" si="2"/>
        <v>0</v>
      </c>
      <c r="P109" s="62"/>
      <c r="Q109" s="245"/>
    </row>
    <row r="110" spans="1:17" s="29" customFormat="1" ht="12.75">
      <c r="A110" s="23" t="s">
        <v>166</v>
      </c>
      <c r="B110" s="250" t="s">
        <v>167</v>
      </c>
      <c r="C110" s="6">
        <f>Sep20!O110</f>
        <v>2328.25</v>
      </c>
      <c r="D110" s="10">
        <f>Sep20!P110</f>
        <v>0</v>
      </c>
      <c r="E110" s="27"/>
      <c r="F110" s="28"/>
      <c r="G110" s="27"/>
      <c r="H110" s="28"/>
      <c r="I110" s="27"/>
      <c r="J110" s="28"/>
      <c r="K110" s="27"/>
      <c r="L110" s="28"/>
      <c r="M110" s="25"/>
      <c r="N110" s="26"/>
      <c r="O110" s="18">
        <f t="shared" si="2"/>
        <v>2328.25</v>
      </c>
      <c r="P110" s="62"/>
      <c r="Q110" s="245"/>
    </row>
    <row r="111" spans="1:17" s="29" customFormat="1" ht="12.75">
      <c r="A111" s="23" t="s">
        <v>37</v>
      </c>
      <c r="B111" s="250" t="s">
        <v>168</v>
      </c>
      <c r="C111" s="484">
        <f>Sep20!O111</f>
        <v>23683.399999999998</v>
      </c>
      <c r="D111" s="10">
        <f>Sep20!P111</f>
        <v>0</v>
      </c>
      <c r="E111" s="27">
        <v>2062.2</v>
      </c>
      <c r="F111" s="28"/>
      <c r="G111" s="27"/>
      <c r="H111" s="28"/>
      <c r="I111" s="27"/>
      <c r="J111" s="28"/>
      <c r="K111" s="27"/>
      <c r="L111" s="28"/>
      <c r="M111" s="25"/>
      <c r="N111" s="26"/>
      <c r="O111" s="18">
        <f t="shared" si="2"/>
        <v>25745.6</v>
      </c>
      <c r="P111" s="62"/>
      <c r="Q111" s="245"/>
    </row>
    <row r="112" spans="1:17" s="29" customFormat="1" ht="12.75">
      <c r="A112" s="23" t="s">
        <v>43</v>
      </c>
      <c r="B112" s="250" t="s">
        <v>169</v>
      </c>
      <c r="C112" s="6">
        <f>Sep20!O112</f>
        <v>142401.09</v>
      </c>
      <c r="D112" s="10">
        <f>Sep20!P112</f>
        <v>0</v>
      </c>
      <c r="E112" s="27">
        <v>22946.58</v>
      </c>
      <c r="F112" s="28"/>
      <c r="G112" s="27"/>
      <c r="H112" s="28"/>
      <c r="I112" s="27"/>
      <c r="J112" s="28"/>
      <c r="K112" s="27"/>
      <c r="L112" s="28"/>
      <c r="M112" s="25"/>
      <c r="N112" s="26"/>
      <c r="O112" s="18">
        <f t="shared" si="2"/>
        <v>165347.66999999998</v>
      </c>
      <c r="P112" s="62"/>
      <c r="Q112" s="245"/>
    </row>
    <row r="113" spans="1:17" s="29" customFormat="1" ht="12.75">
      <c r="A113" s="23" t="s">
        <v>694</v>
      </c>
      <c r="B113" s="250" t="s">
        <v>695</v>
      </c>
      <c r="C113" s="484">
        <f>Sep20!O113</f>
        <v>0</v>
      </c>
      <c r="D113" s="10">
        <f>Sep20!P113</f>
        <v>0</v>
      </c>
      <c r="E113" s="27"/>
      <c r="F113" s="28"/>
      <c r="G113" s="27"/>
      <c r="H113" s="28"/>
      <c r="I113" s="27"/>
      <c r="J113" s="28"/>
      <c r="K113" s="27"/>
      <c r="L113" s="28"/>
      <c r="M113" s="25"/>
      <c r="N113" s="26"/>
      <c r="O113" s="18">
        <f t="shared" si="2"/>
        <v>0</v>
      </c>
      <c r="P113" s="62"/>
      <c r="Q113" s="245"/>
    </row>
    <row r="114" spans="1:17" s="29" customFormat="1" ht="12.75">
      <c r="A114" s="23" t="s">
        <v>29</v>
      </c>
      <c r="B114" s="250" t="s">
        <v>170</v>
      </c>
      <c r="C114" s="6">
        <f>Sep20!O114</f>
        <v>49346.8</v>
      </c>
      <c r="D114" s="10">
        <f>Sep20!P114</f>
        <v>0</v>
      </c>
      <c r="E114" s="27">
        <v>8749</v>
      </c>
      <c r="F114" s="28"/>
      <c r="G114" s="27"/>
      <c r="H114" s="28"/>
      <c r="I114" s="27"/>
      <c r="J114" s="28"/>
      <c r="K114" s="27"/>
      <c r="L114" s="28"/>
      <c r="M114" s="25"/>
      <c r="N114" s="26"/>
      <c r="O114" s="18">
        <f t="shared" si="2"/>
        <v>58095.8</v>
      </c>
      <c r="P114" s="62"/>
      <c r="Q114" s="245"/>
    </row>
    <row r="115" spans="1:17" s="29" customFormat="1" ht="12.75">
      <c r="A115" s="23" t="s">
        <v>194</v>
      </c>
      <c r="B115" s="250" t="s">
        <v>196</v>
      </c>
      <c r="C115" s="484">
        <f>Sep20!O115</f>
        <v>70904.24</v>
      </c>
      <c r="D115" s="10">
        <f>Sep20!P115</f>
        <v>0</v>
      </c>
      <c r="E115" s="27">
        <v>8668.74</v>
      </c>
      <c r="F115" s="28"/>
      <c r="G115" s="27"/>
      <c r="H115" s="28"/>
      <c r="I115" s="27"/>
      <c r="J115" s="28"/>
      <c r="K115" s="27"/>
      <c r="L115" s="28"/>
      <c r="M115" s="25"/>
      <c r="N115" s="26"/>
      <c r="O115" s="18">
        <f t="shared" si="2"/>
        <v>79572.98000000001</v>
      </c>
      <c r="P115" s="62"/>
      <c r="Q115" s="245"/>
    </row>
    <row r="116" spans="1:17" s="29" customFormat="1" ht="12.75">
      <c r="A116" s="23" t="s">
        <v>195</v>
      </c>
      <c r="B116" s="250" t="s">
        <v>197</v>
      </c>
      <c r="C116" s="6">
        <f>Sep20!O116</f>
        <v>15951.15</v>
      </c>
      <c r="D116" s="10">
        <f>Sep20!P116</f>
        <v>0</v>
      </c>
      <c r="E116" s="27"/>
      <c r="F116" s="28"/>
      <c r="G116" s="27"/>
      <c r="H116" s="28"/>
      <c r="I116" s="27"/>
      <c r="J116" s="28"/>
      <c r="K116" s="27"/>
      <c r="L116" s="28"/>
      <c r="M116" s="25"/>
      <c r="N116" s="26"/>
      <c r="O116" s="18">
        <f t="shared" si="2"/>
        <v>15951.15</v>
      </c>
      <c r="P116" s="62"/>
      <c r="Q116" s="245"/>
    </row>
    <row r="117" spans="1:17" s="29" customFormat="1" ht="12.75">
      <c r="A117" s="23" t="s">
        <v>171</v>
      </c>
      <c r="B117" s="250" t="s">
        <v>172</v>
      </c>
      <c r="C117" s="484">
        <f>Sep20!O117</f>
        <v>63203.37</v>
      </c>
      <c r="D117" s="10">
        <f>Sep20!P117</f>
        <v>0</v>
      </c>
      <c r="E117" s="27">
        <v>7342.02</v>
      </c>
      <c r="F117" s="28"/>
      <c r="G117" s="27"/>
      <c r="H117" s="28"/>
      <c r="I117" s="27"/>
      <c r="J117" s="28"/>
      <c r="K117" s="27"/>
      <c r="L117" s="28"/>
      <c r="M117" s="25"/>
      <c r="N117" s="26"/>
      <c r="O117" s="18">
        <f t="shared" si="2"/>
        <v>70545.39</v>
      </c>
      <c r="P117" s="62"/>
      <c r="Q117" s="245"/>
    </row>
    <row r="118" spans="1:17" s="29" customFormat="1" ht="12.75">
      <c r="A118" s="23" t="s">
        <v>51</v>
      </c>
      <c r="B118" s="250" t="s">
        <v>173</v>
      </c>
      <c r="C118" s="6">
        <f>Sep20!O118</f>
        <v>300</v>
      </c>
      <c r="D118" s="10">
        <f>Sep20!P118</f>
        <v>0</v>
      </c>
      <c r="E118" s="27"/>
      <c r="F118" s="28"/>
      <c r="G118" s="27"/>
      <c r="H118" s="28"/>
      <c r="I118" s="27"/>
      <c r="J118" s="28"/>
      <c r="K118" s="27"/>
      <c r="L118" s="28"/>
      <c r="M118" s="25"/>
      <c r="N118" s="26"/>
      <c r="O118" s="18">
        <f t="shared" si="2"/>
        <v>300</v>
      </c>
      <c r="P118" s="62"/>
      <c r="Q118" s="245"/>
    </row>
    <row r="119" spans="1:17" s="29" customFormat="1" ht="12.75">
      <c r="A119" s="23" t="s">
        <v>539</v>
      </c>
      <c r="B119" s="250" t="s">
        <v>538</v>
      </c>
      <c r="C119" s="484">
        <f>Sep20!O119</f>
        <v>0</v>
      </c>
      <c r="D119" s="10">
        <f>Sep20!P119</f>
        <v>0</v>
      </c>
      <c r="E119" s="27"/>
      <c r="F119" s="28"/>
      <c r="G119" s="27"/>
      <c r="H119" s="28"/>
      <c r="I119" s="27"/>
      <c r="J119" s="28"/>
      <c r="K119" s="27"/>
      <c r="L119" s="28"/>
      <c r="M119" s="25"/>
      <c r="N119" s="26"/>
      <c r="O119" s="18">
        <f t="shared" si="2"/>
        <v>0</v>
      </c>
      <c r="P119" s="62"/>
      <c r="Q119" s="245"/>
    </row>
    <row r="120" spans="1:17" s="29" customFormat="1" ht="12.75">
      <c r="A120" s="23" t="s">
        <v>193</v>
      </c>
      <c r="B120" s="250" t="s">
        <v>190</v>
      </c>
      <c r="C120" s="6">
        <f>Sep20!O120</f>
        <v>82500.03</v>
      </c>
      <c r="D120" s="10">
        <f>Sep20!P120</f>
        <v>0</v>
      </c>
      <c r="E120" s="27">
        <v>9166.67</v>
      </c>
      <c r="F120" s="28"/>
      <c r="G120" s="27"/>
      <c r="H120" s="28"/>
      <c r="I120" s="27"/>
      <c r="J120" s="28"/>
      <c r="K120" s="27"/>
      <c r="L120" s="28"/>
      <c r="M120" s="25"/>
      <c r="N120" s="26"/>
      <c r="O120" s="18">
        <f t="shared" si="2"/>
        <v>91666.7</v>
      </c>
      <c r="P120" s="62"/>
      <c r="Q120" s="245"/>
    </row>
    <row r="121" spans="1:17" s="29" customFormat="1" ht="12.75">
      <c r="A121" s="23" t="s">
        <v>71</v>
      </c>
      <c r="B121" s="250" t="s">
        <v>178</v>
      </c>
      <c r="C121" s="484">
        <f>Sep20!O121</f>
        <v>400</v>
      </c>
      <c r="D121" s="10">
        <f>Sep20!P121</f>
        <v>0</v>
      </c>
      <c r="E121" s="27"/>
      <c r="F121" s="28"/>
      <c r="G121" s="27"/>
      <c r="H121" s="28"/>
      <c r="I121" s="27"/>
      <c r="J121" s="28"/>
      <c r="K121" s="27"/>
      <c r="L121" s="28"/>
      <c r="M121" s="25"/>
      <c r="N121" s="26"/>
      <c r="O121" s="18">
        <f t="shared" si="2"/>
        <v>400</v>
      </c>
      <c r="P121" s="62"/>
      <c r="Q121" s="245"/>
    </row>
    <row r="122" spans="1:17" s="29" customFormat="1" ht="12.75">
      <c r="A122" s="23" t="s">
        <v>30</v>
      </c>
      <c r="B122" s="250" t="s">
        <v>179</v>
      </c>
      <c r="C122" s="6">
        <f>Sep20!O122</f>
        <v>0</v>
      </c>
      <c r="D122" s="10">
        <f>Sep20!P122</f>
        <v>0</v>
      </c>
      <c r="E122" s="27"/>
      <c r="F122" s="28"/>
      <c r="G122" s="27"/>
      <c r="H122" s="28"/>
      <c r="I122" s="27"/>
      <c r="J122" s="28"/>
      <c r="K122" s="27"/>
      <c r="L122" s="28"/>
      <c r="M122" s="25"/>
      <c r="N122" s="26"/>
      <c r="O122" s="18">
        <f t="shared" si="2"/>
        <v>0</v>
      </c>
      <c r="P122" s="62"/>
      <c r="Q122" s="245"/>
    </row>
    <row r="123" spans="1:17" s="29" customFormat="1" ht="12.75">
      <c r="A123" s="23" t="s">
        <v>198</v>
      </c>
      <c r="B123" s="250" t="s">
        <v>199</v>
      </c>
      <c r="C123" s="484">
        <f>Sep20!O123</f>
        <v>0</v>
      </c>
      <c r="D123" s="10">
        <f>Sep20!P123</f>
        <v>0</v>
      </c>
      <c r="E123" s="27"/>
      <c r="F123" s="28"/>
      <c r="G123" s="27"/>
      <c r="H123" s="28"/>
      <c r="I123" s="27"/>
      <c r="J123" s="28"/>
      <c r="K123" s="27"/>
      <c r="L123" s="28"/>
      <c r="M123" s="25"/>
      <c r="N123" s="26"/>
      <c r="O123" s="18">
        <f t="shared" si="2"/>
        <v>0</v>
      </c>
      <c r="P123" s="62"/>
      <c r="Q123" s="245"/>
    </row>
    <row r="124" spans="1:17" s="29" customFormat="1" ht="12.75">
      <c r="A124" s="23" t="s">
        <v>72</v>
      </c>
      <c r="B124" s="250" t="s">
        <v>182</v>
      </c>
      <c r="C124" s="6">
        <f>Sep20!O124</f>
        <v>512353.2299999999</v>
      </c>
      <c r="D124" s="10">
        <f>Sep20!P124</f>
        <v>0</v>
      </c>
      <c r="E124" s="27">
        <v>47999.6</v>
      </c>
      <c r="F124" s="28"/>
      <c r="G124" s="27"/>
      <c r="H124" s="28"/>
      <c r="I124" s="27"/>
      <c r="J124" s="28"/>
      <c r="K124" s="27"/>
      <c r="L124" s="28"/>
      <c r="M124" s="25"/>
      <c r="N124" s="26"/>
      <c r="O124" s="18">
        <f t="shared" si="2"/>
        <v>560352.83</v>
      </c>
      <c r="P124" s="62"/>
      <c r="Q124" s="324"/>
    </row>
    <row r="125" spans="1:17" s="29" customFormat="1" ht="12.75" hidden="1">
      <c r="A125" s="23" t="s">
        <v>65</v>
      </c>
      <c r="B125" s="250" t="s">
        <v>183</v>
      </c>
      <c r="C125" s="484">
        <f>Sep20!O125</f>
        <v>0</v>
      </c>
      <c r="D125" s="10">
        <f>Sep20!P125</f>
        <v>0</v>
      </c>
      <c r="E125" s="27"/>
      <c r="F125" s="28"/>
      <c r="G125" s="27"/>
      <c r="H125" s="28"/>
      <c r="I125" s="27"/>
      <c r="J125" s="28"/>
      <c r="K125" s="27"/>
      <c r="L125" s="28"/>
      <c r="M125" s="25"/>
      <c r="N125" s="26"/>
      <c r="O125" s="18">
        <f t="shared" si="2"/>
        <v>0</v>
      </c>
      <c r="P125" s="62"/>
      <c r="Q125" s="245"/>
    </row>
    <row r="126" spans="1:17" s="29" customFormat="1" ht="12.75" hidden="1">
      <c r="A126" s="23" t="s">
        <v>180</v>
      </c>
      <c r="B126" s="250" t="s">
        <v>181</v>
      </c>
      <c r="C126" s="6">
        <f>Sep20!O126</f>
        <v>0</v>
      </c>
      <c r="D126" s="10">
        <f>Sep20!P126</f>
        <v>0</v>
      </c>
      <c r="E126" s="27"/>
      <c r="F126" s="28"/>
      <c r="G126" s="27"/>
      <c r="H126" s="28"/>
      <c r="I126" s="27"/>
      <c r="J126" s="28"/>
      <c r="K126" s="27"/>
      <c r="L126" s="28"/>
      <c r="M126" s="25"/>
      <c r="N126" s="26"/>
      <c r="O126" s="18">
        <f t="shared" si="2"/>
        <v>0</v>
      </c>
      <c r="P126" s="62"/>
      <c r="Q126" s="245"/>
    </row>
    <row r="127" spans="1:17" s="29" customFormat="1" ht="12.75" hidden="1">
      <c r="A127" s="23" t="s">
        <v>184</v>
      </c>
      <c r="B127" s="250" t="s">
        <v>185</v>
      </c>
      <c r="C127" s="484">
        <f>Sep20!O127</f>
        <v>97413.83</v>
      </c>
      <c r="D127" s="10">
        <f>Sep20!P127</f>
        <v>0</v>
      </c>
      <c r="E127" s="27"/>
      <c r="F127" s="28"/>
      <c r="G127" s="27"/>
      <c r="H127" s="28"/>
      <c r="I127" s="27"/>
      <c r="J127" s="28"/>
      <c r="K127" s="27"/>
      <c r="L127" s="28"/>
      <c r="M127" s="25"/>
      <c r="N127" s="26"/>
      <c r="O127" s="18">
        <f t="shared" si="2"/>
        <v>97413.83</v>
      </c>
      <c r="P127" s="62"/>
      <c r="Q127" s="245"/>
    </row>
    <row r="128" spans="1:17" s="29" customFormat="1" ht="12.75" hidden="1">
      <c r="A128" s="23" t="s">
        <v>186</v>
      </c>
      <c r="B128" s="250" t="s">
        <v>204</v>
      </c>
      <c r="C128" s="6">
        <f>Sep20!O128</f>
        <v>0</v>
      </c>
      <c r="D128" s="10">
        <f>Sep20!P128</f>
        <v>0</v>
      </c>
      <c r="E128" s="27"/>
      <c r="F128" s="28"/>
      <c r="G128" s="27"/>
      <c r="H128" s="28"/>
      <c r="I128" s="27"/>
      <c r="J128" s="28"/>
      <c r="K128" s="27"/>
      <c r="L128" s="28"/>
      <c r="M128" s="25"/>
      <c r="N128" s="26"/>
      <c r="O128" s="18">
        <f t="shared" si="2"/>
        <v>0</v>
      </c>
      <c r="P128" s="62"/>
      <c r="Q128" s="324"/>
    </row>
    <row r="129" spans="1:17" s="29" customFormat="1" ht="12.75">
      <c r="A129" s="23" t="s">
        <v>219</v>
      </c>
      <c r="B129" s="250" t="s">
        <v>205</v>
      </c>
      <c r="C129" s="484">
        <f>Sep20!O129</f>
        <v>79441.25</v>
      </c>
      <c r="D129" s="10">
        <f>Sep20!P129</f>
        <v>0</v>
      </c>
      <c r="E129" s="27"/>
      <c r="F129" s="28"/>
      <c r="G129" s="27"/>
      <c r="H129" s="28"/>
      <c r="I129" s="27"/>
      <c r="J129" s="28"/>
      <c r="K129" s="27"/>
      <c r="L129" s="28"/>
      <c r="M129" s="25"/>
      <c r="N129" s="26"/>
      <c r="O129" s="18">
        <f t="shared" si="2"/>
        <v>79441.25</v>
      </c>
      <c r="P129" s="62"/>
      <c r="Q129" s="324"/>
    </row>
    <row r="130" spans="1:17" s="29" customFormat="1" ht="12.75">
      <c r="A130" s="23" t="s">
        <v>220</v>
      </c>
      <c r="B130" s="250" t="s">
        <v>206</v>
      </c>
      <c r="C130" s="6">
        <f>Sep20!O130</f>
        <v>162390</v>
      </c>
      <c r="D130" s="10">
        <f>Sep20!P130</f>
        <v>0</v>
      </c>
      <c r="E130" s="27"/>
      <c r="F130" s="28"/>
      <c r="G130" s="27"/>
      <c r="H130" s="28"/>
      <c r="I130" s="27"/>
      <c r="J130" s="28"/>
      <c r="K130" s="27"/>
      <c r="L130" s="28"/>
      <c r="M130" s="25"/>
      <c r="N130" s="26"/>
      <c r="O130" s="18">
        <f t="shared" si="2"/>
        <v>162390</v>
      </c>
      <c r="P130" s="62"/>
      <c r="Q130" s="245"/>
    </row>
    <row r="131" spans="1:17" s="29" customFormat="1" ht="12.75">
      <c r="A131" s="23" t="s">
        <v>584</v>
      </c>
      <c r="B131" s="250" t="s">
        <v>585</v>
      </c>
      <c r="C131" s="484">
        <f>Sep20!O131</f>
        <v>0</v>
      </c>
      <c r="D131" s="10">
        <f>Sep20!P131</f>
        <v>0</v>
      </c>
      <c r="E131" s="27"/>
      <c r="F131" s="28"/>
      <c r="G131" s="27"/>
      <c r="H131" s="28"/>
      <c r="I131" s="27"/>
      <c r="J131" s="28"/>
      <c r="K131" s="27"/>
      <c r="L131" s="28"/>
      <c r="M131" s="25"/>
      <c r="N131" s="26"/>
      <c r="O131" s="18">
        <f t="shared" si="2"/>
        <v>0</v>
      </c>
      <c r="P131" s="62"/>
      <c r="Q131" s="245"/>
    </row>
    <row r="132" spans="1:17" s="29" customFormat="1" ht="12.75">
      <c r="A132" s="23" t="s">
        <v>188</v>
      </c>
      <c r="B132" s="250" t="s">
        <v>189</v>
      </c>
      <c r="C132" s="6">
        <f>Sep20!O132</f>
        <v>0</v>
      </c>
      <c r="D132" s="10">
        <f>Sep20!P132</f>
        <v>0</v>
      </c>
      <c r="E132" s="27"/>
      <c r="F132" s="28"/>
      <c r="G132" s="27"/>
      <c r="H132" s="28"/>
      <c r="I132" s="27"/>
      <c r="J132" s="28"/>
      <c r="K132" s="27"/>
      <c r="L132" s="28"/>
      <c r="M132" s="25"/>
      <c r="N132" s="26"/>
      <c r="O132" s="18">
        <f t="shared" si="2"/>
        <v>0</v>
      </c>
      <c r="P132" s="62"/>
      <c r="Q132" s="245"/>
    </row>
    <row r="133" spans="1:17" s="29" customFormat="1" ht="12.75">
      <c r="A133" s="23" t="s">
        <v>229</v>
      </c>
      <c r="B133" s="250" t="s">
        <v>227</v>
      </c>
      <c r="C133" s="484">
        <f>Sep20!O133</f>
        <v>58169</v>
      </c>
      <c r="D133" s="10">
        <f>Sep20!P133</f>
        <v>0</v>
      </c>
      <c r="E133" s="27">
        <v>420</v>
      </c>
      <c r="F133" s="28"/>
      <c r="G133" s="27"/>
      <c r="H133" s="28"/>
      <c r="I133" s="27"/>
      <c r="J133" s="28"/>
      <c r="K133" s="27"/>
      <c r="L133" s="28"/>
      <c r="M133" s="25"/>
      <c r="N133" s="26"/>
      <c r="O133" s="18">
        <f t="shared" si="2"/>
        <v>58589</v>
      </c>
      <c r="P133" s="62"/>
      <c r="Q133" s="245"/>
    </row>
    <row r="134" spans="1:17" s="29" customFormat="1" ht="12.75">
      <c r="A134" s="23" t="s">
        <v>64</v>
      </c>
      <c r="B134" s="250" t="s">
        <v>187</v>
      </c>
      <c r="C134" s="6">
        <f>Sep20!O134</f>
        <v>0</v>
      </c>
      <c r="D134" s="10">
        <f>Sep20!P134</f>
        <v>0</v>
      </c>
      <c r="E134" s="27"/>
      <c r="F134" s="28"/>
      <c r="G134" s="27"/>
      <c r="H134" s="28"/>
      <c r="I134" s="27"/>
      <c r="J134" s="28"/>
      <c r="K134" s="27"/>
      <c r="L134" s="28"/>
      <c r="M134" s="25"/>
      <c r="N134" s="26"/>
      <c r="O134" s="18">
        <f t="shared" si="2"/>
        <v>0</v>
      </c>
      <c r="P134" s="62"/>
      <c r="Q134" s="245"/>
    </row>
    <row r="135" spans="1:17" s="29" customFormat="1" ht="12.75">
      <c r="A135" s="23" t="s">
        <v>796</v>
      </c>
      <c r="B135" s="250" t="s">
        <v>795</v>
      </c>
      <c r="C135" s="484">
        <f>Sep20!O135</f>
        <v>0</v>
      </c>
      <c r="D135" s="10">
        <f>Sep20!P135</f>
        <v>0</v>
      </c>
      <c r="E135" s="27">
        <v>290000</v>
      </c>
      <c r="F135" s="28"/>
      <c r="G135" s="27"/>
      <c r="H135" s="28"/>
      <c r="I135" s="27"/>
      <c r="J135" s="28"/>
      <c r="K135" s="27"/>
      <c r="L135" s="28"/>
      <c r="M135" s="25"/>
      <c r="N135" s="26"/>
      <c r="O135" s="18">
        <f t="shared" si="2"/>
        <v>290000</v>
      </c>
      <c r="P135" s="62"/>
      <c r="Q135" s="245"/>
    </row>
    <row r="136" spans="1:17" s="29" customFormat="1" ht="12.75">
      <c r="A136" s="23" t="s">
        <v>233</v>
      </c>
      <c r="B136" s="250" t="s">
        <v>232</v>
      </c>
      <c r="C136" s="6">
        <f>Sep20!O136</f>
        <v>147993457.74</v>
      </c>
      <c r="D136" s="10">
        <f>Sep20!P136</f>
        <v>0</v>
      </c>
      <c r="E136" s="27">
        <v>1941713.54</v>
      </c>
      <c r="F136" s="28"/>
      <c r="G136" s="27"/>
      <c r="H136" s="28"/>
      <c r="I136" s="27"/>
      <c r="J136" s="28"/>
      <c r="K136" s="27"/>
      <c r="L136" s="28"/>
      <c r="M136" s="25"/>
      <c r="N136" s="26"/>
      <c r="O136" s="18">
        <f t="shared" si="2"/>
        <v>149935171.28</v>
      </c>
      <c r="P136" s="62"/>
      <c r="Q136" s="245"/>
    </row>
    <row r="137" spans="1:17" s="29" customFormat="1" ht="12.75">
      <c r="A137" s="23" t="s">
        <v>69</v>
      </c>
      <c r="B137" s="250" t="s">
        <v>191</v>
      </c>
      <c r="C137" s="484">
        <f>Sep20!O137</f>
        <v>0</v>
      </c>
      <c r="D137" s="10">
        <f>Sep20!P137</f>
        <v>0</v>
      </c>
      <c r="E137" s="27">
        <v>45000</v>
      </c>
      <c r="F137" s="28"/>
      <c r="G137" s="27"/>
      <c r="H137" s="28"/>
      <c r="I137" s="27"/>
      <c r="J137" s="28"/>
      <c r="K137" s="27"/>
      <c r="L137" s="28"/>
      <c r="M137" s="25"/>
      <c r="N137" s="26"/>
      <c r="O137" s="18">
        <f t="shared" si="2"/>
        <v>45000</v>
      </c>
      <c r="P137" s="62"/>
      <c r="Q137" s="245"/>
    </row>
    <row r="138" spans="1:17" s="29" customFormat="1" ht="12.75">
      <c r="A138" s="23" t="s">
        <v>211</v>
      </c>
      <c r="B138" s="250" t="s">
        <v>212</v>
      </c>
      <c r="C138" s="6">
        <f>Sep20!O138</f>
        <v>0</v>
      </c>
      <c r="D138" s="10">
        <f>Sep20!P138</f>
        <v>0</v>
      </c>
      <c r="E138" s="27"/>
      <c r="F138" s="28"/>
      <c r="G138" s="27"/>
      <c r="H138" s="28"/>
      <c r="I138" s="27"/>
      <c r="J138" s="28"/>
      <c r="K138" s="27"/>
      <c r="L138" s="28"/>
      <c r="M138" s="25">
        <v>23115</v>
      </c>
      <c r="N138" s="26"/>
      <c r="O138" s="18">
        <f t="shared" si="2"/>
        <v>23115</v>
      </c>
      <c r="P138" s="62"/>
      <c r="Q138" s="324"/>
    </row>
    <row r="139" spans="1:17" s="29" customFormat="1" ht="12.75">
      <c r="A139" s="23" t="s">
        <v>540</v>
      </c>
      <c r="B139" s="250" t="s">
        <v>523</v>
      </c>
      <c r="C139" s="484">
        <f>Sep20!O139</f>
        <v>0</v>
      </c>
      <c r="D139" s="10">
        <f>Sep20!P139</f>
        <v>0</v>
      </c>
      <c r="E139" s="27"/>
      <c r="F139" s="28"/>
      <c r="G139" s="27"/>
      <c r="H139" s="28"/>
      <c r="I139" s="27"/>
      <c r="J139" s="28"/>
      <c r="K139" s="27"/>
      <c r="L139" s="28"/>
      <c r="M139" s="25"/>
      <c r="N139" s="26"/>
      <c r="O139" s="18">
        <f t="shared" si="2"/>
        <v>0</v>
      </c>
      <c r="P139" s="62"/>
      <c r="Q139" s="245"/>
    </row>
    <row r="140" spans="1:17" s="29" customFormat="1" ht="12.75">
      <c r="A140" s="23" t="s">
        <v>73</v>
      </c>
      <c r="B140" s="250" t="s">
        <v>192</v>
      </c>
      <c r="C140" s="6">
        <f>Sep20!O140</f>
        <v>396532.9</v>
      </c>
      <c r="D140" s="10">
        <f>Sep20!P140</f>
        <v>0</v>
      </c>
      <c r="E140" s="27">
        <v>135270.36</v>
      </c>
      <c r="F140" s="28"/>
      <c r="G140" s="27"/>
      <c r="H140" s="28"/>
      <c r="I140" s="27"/>
      <c r="J140" s="28"/>
      <c r="K140" s="27"/>
      <c r="L140" s="28"/>
      <c r="M140" s="25"/>
      <c r="N140" s="26"/>
      <c r="O140" s="18">
        <f t="shared" si="2"/>
        <v>531803.26</v>
      </c>
      <c r="P140" s="62"/>
      <c r="Q140" s="245"/>
    </row>
    <row r="141" spans="1:17" s="29" customFormat="1" ht="12.75">
      <c r="A141" s="23" t="s">
        <v>38</v>
      </c>
      <c r="B141" s="250" t="s">
        <v>175</v>
      </c>
      <c r="C141" s="484">
        <f>Sep20!O141</f>
        <v>0</v>
      </c>
      <c r="D141" s="10">
        <f>Sep20!P141</f>
        <v>0</v>
      </c>
      <c r="E141" s="27"/>
      <c r="F141" s="28"/>
      <c r="G141" s="27"/>
      <c r="H141" s="28"/>
      <c r="I141" s="27"/>
      <c r="J141" s="28"/>
      <c r="K141" s="27"/>
      <c r="L141" s="28"/>
      <c r="M141" s="25"/>
      <c r="N141" s="26"/>
      <c r="O141" s="18">
        <f t="shared" si="2"/>
        <v>0</v>
      </c>
      <c r="P141" s="62"/>
      <c r="Q141" s="245"/>
    </row>
    <row r="142" spans="1:17" s="29" customFormat="1" ht="12.75">
      <c r="A142" s="23" t="s">
        <v>62</v>
      </c>
      <c r="B142" s="250" t="s">
        <v>176</v>
      </c>
      <c r="C142" s="6">
        <f>Sep20!O142</f>
        <v>0</v>
      </c>
      <c r="D142" s="10">
        <f>Sep20!P142</f>
        <v>0</v>
      </c>
      <c r="E142" s="27"/>
      <c r="F142" s="28"/>
      <c r="G142" s="27"/>
      <c r="H142" s="28"/>
      <c r="I142" s="27"/>
      <c r="J142" s="28"/>
      <c r="K142" s="27"/>
      <c r="L142" s="28"/>
      <c r="M142" s="25"/>
      <c r="N142" s="26"/>
      <c r="O142" s="18">
        <f t="shared" si="2"/>
        <v>0</v>
      </c>
      <c r="P142" s="62"/>
      <c r="Q142" s="245"/>
    </row>
    <row r="143" spans="1:17" s="29" customFormat="1" ht="12.75">
      <c r="A143" s="23" t="s">
        <v>63</v>
      </c>
      <c r="B143" s="250" t="s">
        <v>177</v>
      </c>
      <c r="C143" s="484">
        <f>Sep20!O143</f>
        <v>2330</v>
      </c>
      <c r="D143" s="10">
        <f>Sep20!P143</f>
        <v>0</v>
      </c>
      <c r="E143" s="27"/>
      <c r="F143" s="28"/>
      <c r="G143" s="27"/>
      <c r="H143" s="28"/>
      <c r="I143" s="27"/>
      <c r="J143" s="28"/>
      <c r="K143" s="27"/>
      <c r="L143" s="28"/>
      <c r="M143" s="25"/>
      <c r="N143" s="26"/>
      <c r="O143" s="18">
        <f t="shared" si="2"/>
        <v>2330</v>
      </c>
      <c r="P143" s="62"/>
      <c r="Q143" s="245"/>
    </row>
    <row r="144" spans="1:17" s="29" customFormat="1" ht="12.75">
      <c r="A144" s="23" t="s">
        <v>560</v>
      </c>
      <c r="B144" s="250" t="s">
        <v>561</v>
      </c>
      <c r="C144" s="6">
        <f>Sep20!O144</f>
        <v>0</v>
      </c>
      <c r="D144" s="10">
        <f>Sep20!P144</f>
        <v>0</v>
      </c>
      <c r="E144" s="27">
        <v>1105</v>
      </c>
      <c r="F144" s="28"/>
      <c r="G144" s="27"/>
      <c r="H144" s="28"/>
      <c r="I144" s="27"/>
      <c r="J144" s="28"/>
      <c r="K144" s="27"/>
      <c r="L144" s="28"/>
      <c r="M144" s="25"/>
      <c r="N144" s="26"/>
      <c r="O144" s="18">
        <f t="shared" si="2"/>
        <v>1105</v>
      </c>
      <c r="P144" s="62"/>
      <c r="Q144" s="245"/>
    </row>
    <row r="145" spans="1:17" s="29" customFormat="1" ht="12.75">
      <c r="A145" s="23" t="s">
        <v>53</v>
      </c>
      <c r="B145" s="250" t="s">
        <v>528</v>
      </c>
      <c r="C145" s="484">
        <f>Sep20!O145</f>
        <v>691764.69</v>
      </c>
      <c r="D145" s="10">
        <f>Sep20!P145</f>
        <v>0</v>
      </c>
      <c r="E145" s="27"/>
      <c r="F145" s="28"/>
      <c r="G145" s="27"/>
      <c r="H145" s="28"/>
      <c r="I145" s="27"/>
      <c r="J145" s="28"/>
      <c r="K145" s="27"/>
      <c r="L145" s="28"/>
      <c r="M145" s="25"/>
      <c r="N145" s="26"/>
      <c r="O145" s="18">
        <f t="shared" si="2"/>
        <v>691764.69</v>
      </c>
      <c r="P145" s="62"/>
      <c r="Q145" s="245"/>
    </row>
    <row r="146" spans="1:17" s="29" customFormat="1" ht="12.75">
      <c r="A146" s="23" t="s">
        <v>701</v>
      </c>
      <c r="B146" s="250" t="s">
        <v>702</v>
      </c>
      <c r="C146" s="6">
        <f>Sep20!O146</f>
        <v>0</v>
      </c>
      <c r="D146" s="10">
        <f>Sep20!P146</f>
        <v>0</v>
      </c>
      <c r="E146" s="27"/>
      <c r="F146" s="28"/>
      <c r="G146" s="27"/>
      <c r="H146" s="28"/>
      <c r="I146" s="27"/>
      <c r="J146" s="28"/>
      <c r="K146" s="27"/>
      <c r="L146" s="28"/>
      <c r="M146" s="25"/>
      <c r="N146" s="26"/>
      <c r="O146" s="18">
        <f t="shared" si="2"/>
        <v>0</v>
      </c>
      <c r="P146" s="62"/>
      <c r="Q146" s="245"/>
    </row>
    <row r="147" spans="1:17" s="29" customFormat="1" ht="12.75">
      <c r="A147" s="23" t="s">
        <v>68</v>
      </c>
      <c r="B147" s="250" t="s">
        <v>174</v>
      </c>
      <c r="C147" s="484">
        <f>Sep20!O147</f>
        <v>0</v>
      </c>
      <c r="D147" s="10">
        <f>Sep20!P147</f>
        <v>0</v>
      </c>
      <c r="E147" s="27"/>
      <c r="F147" s="28"/>
      <c r="G147" s="27"/>
      <c r="H147" s="28"/>
      <c r="I147" s="27"/>
      <c r="J147" s="28"/>
      <c r="K147" s="27"/>
      <c r="L147" s="28"/>
      <c r="M147" s="25"/>
      <c r="N147" s="26"/>
      <c r="O147" s="18">
        <f aca="true" t="shared" si="3" ref="O147:O157">C147+E147+I147+M147-D147-F147-J147-N147+G147-H147+K147-L147</f>
        <v>0</v>
      </c>
      <c r="P147" s="62"/>
      <c r="Q147" s="245"/>
    </row>
    <row r="148" spans="1:17" s="29" customFormat="1" ht="12.75">
      <c r="A148" s="23" t="s">
        <v>730</v>
      </c>
      <c r="B148" s="250" t="s">
        <v>731</v>
      </c>
      <c r="C148" s="6">
        <f>Sep20!O148</f>
        <v>0</v>
      </c>
      <c r="D148" s="10">
        <f>Sep20!P148</f>
        <v>0</v>
      </c>
      <c r="E148" s="27"/>
      <c r="F148" s="28"/>
      <c r="G148" s="27"/>
      <c r="H148" s="28"/>
      <c r="I148" s="27"/>
      <c r="J148" s="28"/>
      <c r="K148" s="27"/>
      <c r="L148" s="28"/>
      <c r="M148" s="25"/>
      <c r="N148" s="26"/>
      <c r="O148" s="18">
        <f t="shared" si="3"/>
        <v>0</v>
      </c>
      <c r="P148" s="62"/>
      <c r="Q148" s="245"/>
    </row>
    <row r="149" spans="1:16" s="29" customFormat="1" ht="12.75">
      <c r="A149" s="23" t="s">
        <v>23</v>
      </c>
      <c r="B149" s="250" t="s">
        <v>524</v>
      </c>
      <c r="C149" s="484">
        <f>Sep20!O149</f>
        <v>856709.1300000001</v>
      </c>
      <c r="D149" s="10">
        <f>Sep20!P149</f>
        <v>0</v>
      </c>
      <c r="E149" s="326">
        <v>18340</v>
      </c>
      <c r="F149" s="62"/>
      <c r="G149" s="326"/>
      <c r="H149" s="62"/>
      <c r="I149" s="326"/>
      <c r="J149" s="62"/>
      <c r="K149" s="326"/>
      <c r="L149" s="62"/>
      <c r="M149" s="326"/>
      <c r="N149" s="25"/>
      <c r="O149" s="18">
        <f t="shared" si="3"/>
        <v>875049.1300000001</v>
      </c>
      <c r="P149" s="62"/>
    </row>
    <row r="150" spans="1:16" s="29" customFormat="1" ht="12.75">
      <c r="A150" s="23" t="s">
        <v>245</v>
      </c>
      <c r="B150" s="250" t="s">
        <v>525</v>
      </c>
      <c r="C150" s="6">
        <f>Sep20!O150</f>
        <v>0</v>
      </c>
      <c r="D150" s="10">
        <f>Sep20!P150</f>
        <v>0</v>
      </c>
      <c r="E150" s="61"/>
      <c r="F150" s="62"/>
      <c r="G150" s="61"/>
      <c r="H150" s="62"/>
      <c r="I150" s="61"/>
      <c r="J150" s="62"/>
      <c r="K150" s="61"/>
      <c r="L150" s="62"/>
      <c r="M150" s="63"/>
      <c r="N150" s="25"/>
      <c r="O150" s="18">
        <f t="shared" si="3"/>
        <v>0</v>
      </c>
      <c r="P150" s="62"/>
    </row>
    <row r="151" spans="1:16" s="29" customFormat="1" ht="12.75">
      <c r="A151" s="8" t="s">
        <v>214</v>
      </c>
      <c r="B151" s="265" t="s">
        <v>574</v>
      </c>
      <c r="C151" s="484">
        <f>Sep20!O151</f>
        <v>0</v>
      </c>
      <c r="D151" s="10">
        <f>Sep20!P151</f>
        <v>0</v>
      </c>
      <c r="E151" s="61"/>
      <c r="F151" s="62"/>
      <c r="G151" s="61"/>
      <c r="H151" s="62"/>
      <c r="I151" s="61"/>
      <c r="J151" s="62"/>
      <c r="K151" s="61"/>
      <c r="L151" s="62"/>
      <c r="M151" s="63"/>
      <c r="N151" s="25"/>
      <c r="O151" s="18">
        <f t="shared" si="3"/>
        <v>0</v>
      </c>
      <c r="P151" s="62"/>
    </row>
    <row r="152" spans="1:16" s="29" customFormat="1" ht="12.75">
      <c r="A152" s="8" t="s">
        <v>77</v>
      </c>
      <c r="B152" s="265" t="s">
        <v>575</v>
      </c>
      <c r="C152" s="6">
        <f>Sep20!O152</f>
        <v>0</v>
      </c>
      <c r="D152" s="10">
        <f>Sep20!P152</f>
        <v>0</v>
      </c>
      <c r="E152" s="61"/>
      <c r="F152" s="62"/>
      <c r="G152" s="61"/>
      <c r="H152" s="62"/>
      <c r="I152" s="61"/>
      <c r="J152" s="62"/>
      <c r="K152" s="61"/>
      <c r="L152" s="62"/>
      <c r="M152" s="63"/>
      <c r="N152" s="25"/>
      <c r="O152" s="18">
        <f t="shared" si="3"/>
        <v>0</v>
      </c>
      <c r="P152" s="62"/>
    </row>
    <row r="153" spans="1:16" s="29" customFormat="1" ht="12.75">
      <c r="A153" s="8" t="s">
        <v>78</v>
      </c>
      <c r="B153" s="265" t="s">
        <v>576</v>
      </c>
      <c r="C153" s="484">
        <f>Sep20!O153</f>
        <v>0</v>
      </c>
      <c r="D153" s="10">
        <f>Sep20!P153</f>
        <v>0</v>
      </c>
      <c r="E153" s="61"/>
      <c r="F153" s="62"/>
      <c r="G153" s="61"/>
      <c r="H153" s="62"/>
      <c r="I153" s="61"/>
      <c r="J153" s="62"/>
      <c r="K153" s="61"/>
      <c r="L153" s="62"/>
      <c r="M153" s="63"/>
      <c r="N153" s="25"/>
      <c r="O153" s="18">
        <f t="shared" si="3"/>
        <v>0</v>
      </c>
      <c r="P153" s="62"/>
    </row>
    <row r="154" spans="1:16" s="29" customFormat="1" ht="12.75">
      <c r="A154" s="8" t="s">
        <v>79</v>
      </c>
      <c r="B154" s="265" t="s">
        <v>577</v>
      </c>
      <c r="C154" s="6">
        <f>Sep20!O154</f>
        <v>434368.27</v>
      </c>
      <c r="D154" s="10">
        <f>Sep20!P154</f>
        <v>0</v>
      </c>
      <c r="E154" s="61"/>
      <c r="F154" s="62"/>
      <c r="G154" s="61"/>
      <c r="H154" s="62"/>
      <c r="I154" s="61"/>
      <c r="J154" s="62"/>
      <c r="K154" s="61"/>
      <c r="L154" s="62"/>
      <c r="M154" s="63"/>
      <c r="N154" s="25"/>
      <c r="O154" s="18">
        <f t="shared" si="3"/>
        <v>434368.27</v>
      </c>
      <c r="P154" s="62"/>
    </row>
    <row r="155" spans="1:16" s="29" customFormat="1" ht="12.75">
      <c r="A155" s="8" t="s">
        <v>578</v>
      </c>
      <c r="B155" s="265" t="s">
        <v>579</v>
      </c>
      <c r="C155" s="484">
        <f>Sep20!O155</f>
        <v>0</v>
      </c>
      <c r="D155" s="10">
        <f>Sep20!P155</f>
        <v>0</v>
      </c>
      <c r="E155" s="61"/>
      <c r="F155" s="62"/>
      <c r="G155" s="61"/>
      <c r="H155" s="62"/>
      <c r="I155" s="61"/>
      <c r="J155" s="62"/>
      <c r="K155" s="61"/>
      <c r="L155" s="62"/>
      <c r="M155" s="63"/>
      <c r="N155" s="25"/>
      <c r="O155" s="18">
        <f t="shared" si="3"/>
        <v>0</v>
      </c>
      <c r="P155" s="62"/>
    </row>
    <row r="156" spans="1:16" s="29" customFormat="1" ht="12.75">
      <c r="A156" s="8" t="s">
        <v>580</v>
      </c>
      <c r="B156" s="265" t="s">
        <v>581</v>
      </c>
      <c r="C156" s="6">
        <f>Sep20!O156</f>
        <v>0</v>
      </c>
      <c r="D156" s="10">
        <f>Sep20!P156</f>
        <v>0</v>
      </c>
      <c r="E156" s="61"/>
      <c r="F156" s="62"/>
      <c r="G156" s="61"/>
      <c r="H156" s="62"/>
      <c r="I156" s="61"/>
      <c r="J156" s="62"/>
      <c r="K156" s="61"/>
      <c r="L156" s="62"/>
      <c r="M156" s="63"/>
      <c r="N156" s="25"/>
      <c r="O156" s="18">
        <f t="shared" si="3"/>
        <v>0</v>
      </c>
      <c r="P156" s="62"/>
    </row>
    <row r="157" spans="1:16" s="29" customFormat="1" ht="13.5" thickBot="1">
      <c r="A157" s="8" t="s">
        <v>82</v>
      </c>
      <c r="B157" s="265" t="s">
        <v>582</v>
      </c>
      <c r="C157" s="484">
        <f>Sep20!O157</f>
        <v>0</v>
      </c>
      <c r="D157" s="10">
        <f>Sep20!P157</f>
        <v>0</v>
      </c>
      <c r="E157" s="61"/>
      <c r="F157" s="62"/>
      <c r="G157" s="61"/>
      <c r="H157" s="62"/>
      <c r="I157" s="61"/>
      <c r="J157" s="62"/>
      <c r="K157" s="61"/>
      <c r="L157" s="62"/>
      <c r="M157" s="63"/>
      <c r="N157" s="25"/>
      <c r="O157" s="18">
        <f t="shared" si="3"/>
        <v>0</v>
      </c>
      <c r="P157" s="62"/>
    </row>
    <row r="158" spans="1:16" s="29" customFormat="1" ht="13.5" thickBot="1">
      <c r="A158" s="123" t="s">
        <v>24</v>
      </c>
      <c r="B158" s="124"/>
      <c r="C158" s="125">
        <f>SUM(C14:C157)</f>
        <v>272137469.31</v>
      </c>
      <c r="D158" s="125">
        <f>SUM(D14:D157)</f>
        <v>272137469.30999994</v>
      </c>
      <c r="E158" s="125">
        <f aca="true" t="shared" si="4" ref="E158:P158">SUM(E14:E157)</f>
        <v>7157656.989999999</v>
      </c>
      <c r="F158" s="125">
        <f t="shared" si="4"/>
        <v>7157656.989999998</v>
      </c>
      <c r="G158" s="125">
        <f t="shared" si="4"/>
        <v>0</v>
      </c>
      <c r="H158" s="125">
        <f t="shared" si="4"/>
        <v>0</v>
      </c>
      <c r="I158" s="125">
        <f t="shared" si="4"/>
        <v>0</v>
      </c>
      <c r="J158" s="125">
        <f t="shared" si="4"/>
        <v>0</v>
      </c>
      <c r="K158" s="125">
        <f t="shared" si="4"/>
        <v>0</v>
      </c>
      <c r="L158" s="125">
        <f t="shared" si="4"/>
        <v>0</v>
      </c>
      <c r="M158" s="125">
        <f t="shared" si="4"/>
        <v>26437354.78</v>
      </c>
      <c r="N158" s="125">
        <f t="shared" si="4"/>
        <v>26437354.78</v>
      </c>
      <c r="O158" s="125">
        <f t="shared" si="4"/>
        <v>298924192.80999994</v>
      </c>
      <c r="P158" s="481">
        <f t="shared" si="4"/>
        <v>298924192.80999994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0" spans="1:16" s="29" customFormat="1" ht="12.75">
      <c r="A160" s="16" t="s">
        <v>25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 t="s">
        <v>55</v>
      </c>
      <c r="P160" s="30"/>
    </row>
    <row r="161" spans="1:16" s="29" customFormat="1" ht="12.75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9"/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0"/>
      <c r="P162" s="30"/>
    </row>
    <row r="163" spans="1:16" s="29" customFormat="1" ht="12.75">
      <c r="A163" s="17" t="s">
        <v>658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0" t="s">
        <v>712</v>
      </c>
      <c r="P163" s="30"/>
    </row>
    <row r="164" spans="1:16" s="29" customFormat="1" ht="12.75">
      <c r="A164" s="16" t="s">
        <v>210</v>
      </c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567" t="s">
        <v>224</v>
      </c>
      <c r="P164" s="567"/>
    </row>
  </sheetData>
  <sheetProtection/>
  <mergeCells count="17">
    <mergeCell ref="A10:A11"/>
    <mergeCell ref="E10:F10"/>
    <mergeCell ref="G10:H10"/>
    <mergeCell ref="I10:J10"/>
    <mergeCell ref="K10:L10"/>
    <mergeCell ref="M10:N10"/>
    <mergeCell ref="C10:D10"/>
    <mergeCell ref="O164:P164"/>
    <mergeCell ref="P10:P11"/>
    <mergeCell ref="A2:P2"/>
    <mergeCell ref="A3:P3"/>
    <mergeCell ref="A5:P5"/>
    <mergeCell ref="A6:P6"/>
    <mergeCell ref="A7:P7"/>
    <mergeCell ref="A8:P8"/>
    <mergeCell ref="A9:P9"/>
    <mergeCell ref="O10:O11"/>
  </mergeCells>
  <printOptions/>
  <pageMargins left="0.73" right="0.13" top="0.64" bottom="0.3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4"/>
  <sheetViews>
    <sheetView zoomScalePageLayoutView="0" workbookViewId="0" topLeftCell="A1">
      <pane xSplit="2" ySplit="11" topLeftCell="C4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12" width="17.7109375" style="30" customWidth="1"/>
    <col min="13" max="13" width="17.28125" style="30" customWidth="1"/>
    <col min="14" max="14" width="18.0039062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776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</row>
    <row r="10" spans="1:16" ht="15.75">
      <c r="A10" s="558" t="s">
        <v>5</v>
      </c>
      <c r="B10" s="35" t="s">
        <v>4</v>
      </c>
      <c r="C10" s="538" t="s">
        <v>793</v>
      </c>
      <c r="D10" s="539"/>
      <c r="E10" s="538" t="s">
        <v>49</v>
      </c>
      <c r="F10" s="539"/>
      <c r="G10" s="538" t="s">
        <v>54</v>
      </c>
      <c r="H10" s="539"/>
      <c r="I10" s="538" t="s">
        <v>48</v>
      </c>
      <c r="J10" s="539"/>
      <c r="K10" s="538" t="s">
        <v>57</v>
      </c>
      <c r="L10" s="539"/>
      <c r="M10" s="538" t="s">
        <v>50</v>
      </c>
      <c r="N10" s="539"/>
      <c r="O10" s="560" t="s">
        <v>7</v>
      </c>
      <c r="P10" s="541" t="s">
        <v>8</v>
      </c>
    </row>
    <row r="11" spans="1:16" ht="16.5" thickBot="1">
      <c r="A11" s="559"/>
      <c r="B11" s="117" t="s">
        <v>6</v>
      </c>
      <c r="C11" s="105" t="s">
        <v>7</v>
      </c>
      <c r="D11" s="106" t="s">
        <v>8</v>
      </c>
      <c r="E11" s="105" t="s">
        <v>7</v>
      </c>
      <c r="F11" s="106" t="s">
        <v>8</v>
      </c>
      <c r="G11" s="105" t="s">
        <v>7</v>
      </c>
      <c r="H11" s="106" t="s">
        <v>8</v>
      </c>
      <c r="I11" s="335" t="s">
        <v>7</v>
      </c>
      <c r="J11" s="334" t="s">
        <v>8</v>
      </c>
      <c r="K11" s="105" t="s">
        <v>7</v>
      </c>
      <c r="L11" s="106" t="s">
        <v>8</v>
      </c>
      <c r="M11" s="335" t="s">
        <v>7</v>
      </c>
      <c r="N11" s="334" t="s">
        <v>8</v>
      </c>
      <c r="O11" s="561"/>
      <c r="P11" s="542"/>
    </row>
    <row r="12" spans="1:16" ht="13.5" customHeight="1">
      <c r="A12" s="40"/>
      <c r="B12" s="504"/>
      <c r="C12" s="517"/>
      <c r="D12" s="114"/>
      <c r="E12" s="327"/>
      <c r="F12" s="114"/>
      <c r="G12" s="327"/>
      <c r="H12" s="114"/>
      <c r="I12" s="319"/>
      <c r="J12" s="114"/>
      <c r="K12" s="327"/>
      <c r="L12" s="114"/>
      <c r="M12" s="319"/>
      <c r="N12" s="114"/>
      <c r="O12" s="327"/>
      <c r="P12" s="114"/>
    </row>
    <row r="13" spans="1:16" ht="12.75" customHeight="1">
      <c r="A13" s="4" t="s">
        <v>9</v>
      </c>
      <c r="B13" s="505"/>
      <c r="C13" s="483"/>
      <c r="D13" s="115"/>
      <c r="E13" s="56"/>
      <c r="F13" s="115"/>
      <c r="G13" s="56"/>
      <c r="H13" s="331"/>
      <c r="I13" s="56"/>
      <c r="J13" s="115"/>
      <c r="K13" s="56"/>
      <c r="L13" s="331"/>
      <c r="M13" s="56"/>
      <c r="N13" s="115"/>
      <c r="O13" s="56"/>
      <c r="P13" s="115"/>
    </row>
    <row r="14" spans="1:16" ht="12.75">
      <c r="A14" s="102" t="s">
        <v>678</v>
      </c>
      <c r="B14" s="506" t="s">
        <v>679</v>
      </c>
      <c r="C14" s="484">
        <f>Oct20!O14</f>
        <v>0</v>
      </c>
      <c r="D14" s="22">
        <f>Oct20!P14</f>
        <v>0</v>
      </c>
      <c r="E14" s="18"/>
      <c r="F14" s="329"/>
      <c r="G14" s="18"/>
      <c r="H14" s="331"/>
      <c r="I14" s="18"/>
      <c r="J14" s="329"/>
      <c r="K14" s="18"/>
      <c r="L14" s="331"/>
      <c r="M14" s="18"/>
      <c r="N14" s="329"/>
      <c r="O14" s="18">
        <f>C14+E14+I14+M14-D14-F14-J14-N14+G14-H14+K14-L14</f>
        <v>0</v>
      </c>
      <c r="P14" s="22"/>
    </row>
    <row r="15" spans="1:16" s="29" customFormat="1" ht="12.75">
      <c r="A15" s="49" t="s">
        <v>101</v>
      </c>
      <c r="B15" s="506" t="s">
        <v>100</v>
      </c>
      <c r="C15" s="484">
        <f>Oct20!O15</f>
        <v>35000</v>
      </c>
      <c r="D15" s="22">
        <f>Oct20!P15</f>
        <v>0</v>
      </c>
      <c r="E15" s="18"/>
      <c r="F15" s="329"/>
      <c r="G15" s="18"/>
      <c r="H15" s="331"/>
      <c r="I15" s="18"/>
      <c r="J15" s="329"/>
      <c r="K15" s="18"/>
      <c r="L15" s="331"/>
      <c r="M15" s="18"/>
      <c r="N15" s="329"/>
      <c r="O15" s="18">
        <f aca="true" t="shared" si="0" ref="O15:O81">C15+E15+I15+M15-D15-F15-J15-N15+G15-H15+K15-L15</f>
        <v>35000</v>
      </c>
      <c r="P15" s="22"/>
    </row>
    <row r="16" spans="1:16" s="29" customFormat="1" ht="12.75">
      <c r="A16" s="49" t="s">
        <v>589</v>
      </c>
      <c r="B16" s="506" t="s">
        <v>230</v>
      </c>
      <c r="C16" s="484">
        <f>Oct20!O16</f>
        <v>333912.42</v>
      </c>
      <c r="D16" s="22">
        <f>Oct20!P16</f>
        <v>0</v>
      </c>
      <c r="E16" s="328"/>
      <c r="F16" s="22"/>
      <c r="G16" s="328"/>
      <c r="H16" s="331"/>
      <c r="I16" s="328"/>
      <c r="J16" s="329"/>
      <c r="K16" s="328"/>
      <c r="L16" s="331"/>
      <c r="M16" s="328"/>
      <c r="N16" s="330"/>
      <c r="O16" s="18">
        <f t="shared" si="0"/>
        <v>333912.42</v>
      </c>
      <c r="P16" s="22"/>
    </row>
    <row r="17" spans="1:16" s="29" customFormat="1" ht="12.75">
      <c r="A17" s="49" t="s">
        <v>636</v>
      </c>
      <c r="B17" s="506" t="s">
        <v>590</v>
      </c>
      <c r="C17" s="484">
        <f>Oct20!O17</f>
        <v>21573113.93</v>
      </c>
      <c r="D17" s="22">
        <f>Oct20!P17</f>
        <v>0</v>
      </c>
      <c r="E17" s="328"/>
      <c r="F17" s="330"/>
      <c r="G17" s="328"/>
      <c r="H17" s="331"/>
      <c r="I17" s="328"/>
      <c r="J17" s="330"/>
      <c r="K17" s="328"/>
      <c r="L17" s="22"/>
      <c r="M17" s="328"/>
      <c r="N17" s="330"/>
      <c r="O17" s="18">
        <f t="shared" si="0"/>
        <v>21573113.93</v>
      </c>
      <c r="P17" s="22"/>
    </row>
    <row r="18" spans="1:16" s="29" customFormat="1" ht="12.75">
      <c r="A18" s="49" t="s">
        <v>103</v>
      </c>
      <c r="B18" s="506" t="s">
        <v>102</v>
      </c>
      <c r="C18" s="484">
        <f>Oct20!O18</f>
        <v>19715402.059999976</v>
      </c>
      <c r="D18" s="22">
        <f>Oct20!P18</f>
        <v>0</v>
      </c>
      <c r="E18" s="328"/>
      <c r="F18" s="330">
        <v>9025505.24</v>
      </c>
      <c r="G18" s="328"/>
      <c r="H18" s="331"/>
      <c r="I18" s="328"/>
      <c r="J18" s="330"/>
      <c r="K18" s="328"/>
      <c r="L18" s="22"/>
      <c r="M18" s="328">
        <f>42549.47+4102505.8</f>
        <v>4145055.27</v>
      </c>
      <c r="N18" s="330"/>
      <c r="O18" s="18">
        <f t="shared" si="0"/>
        <v>14834952.089999976</v>
      </c>
      <c r="P18" s="22"/>
    </row>
    <row r="19" spans="1:16" s="29" customFormat="1" ht="12.75">
      <c r="A19" s="49" t="s">
        <v>10</v>
      </c>
      <c r="B19" s="506" t="s">
        <v>104</v>
      </c>
      <c r="C19" s="484">
        <f>Oct20!O19</f>
        <v>2110849.0100000016</v>
      </c>
      <c r="D19" s="22">
        <f>Oct20!P19</f>
        <v>0</v>
      </c>
      <c r="E19" s="328"/>
      <c r="F19" s="330"/>
      <c r="G19" s="328"/>
      <c r="H19" s="331"/>
      <c r="I19" s="328"/>
      <c r="J19" s="330"/>
      <c r="K19" s="328"/>
      <c r="L19" s="22"/>
      <c r="M19" s="328"/>
      <c r="N19" s="330"/>
      <c r="O19" s="18">
        <f t="shared" si="0"/>
        <v>2110849.0100000016</v>
      </c>
      <c r="P19" s="22"/>
    </row>
    <row r="20" spans="1:16" s="29" customFormat="1" ht="12.75">
      <c r="A20" s="49" t="s">
        <v>567</v>
      </c>
      <c r="B20" s="506" t="s">
        <v>568</v>
      </c>
      <c r="C20" s="484">
        <f>Oct20!O20</f>
        <v>22237581.29</v>
      </c>
      <c r="D20" s="22">
        <f>Oct20!P20</f>
        <v>0</v>
      </c>
      <c r="E20" s="328"/>
      <c r="F20" s="122"/>
      <c r="G20" s="328"/>
      <c r="H20" s="332"/>
      <c r="I20" s="328"/>
      <c r="J20" s="122"/>
      <c r="K20" s="328"/>
      <c r="L20" s="332"/>
      <c r="M20" s="328"/>
      <c r="N20" s="122"/>
      <c r="O20" s="18">
        <f t="shared" si="0"/>
        <v>22237581.29</v>
      </c>
      <c r="P20" s="122"/>
    </row>
    <row r="21" spans="1:16" s="29" customFormat="1" ht="12.75">
      <c r="A21" s="49" t="s">
        <v>225</v>
      </c>
      <c r="B21" s="506" t="s">
        <v>226</v>
      </c>
      <c r="C21" s="484">
        <f>Oct20!O21</f>
        <v>497000</v>
      </c>
      <c r="D21" s="22">
        <f>Oct20!P21</f>
        <v>0</v>
      </c>
      <c r="E21" s="328"/>
      <c r="F21" s="122"/>
      <c r="G21" s="328"/>
      <c r="H21" s="332"/>
      <c r="I21" s="328"/>
      <c r="J21" s="122"/>
      <c r="K21" s="328"/>
      <c r="L21" s="332"/>
      <c r="M21" s="328"/>
      <c r="N21" s="122"/>
      <c r="O21" s="18">
        <f t="shared" si="0"/>
        <v>497000</v>
      </c>
      <c r="P21" s="122"/>
    </row>
    <row r="22" spans="1:16" s="29" customFormat="1" ht="12.75" customHeight="1">
      <c r="A22" s="49" t="s">
        <v>11</v>
      </c>
      <c r="B22" s="506" t="s">
        <v>105</v>
      </c>
      <c r="C22" s="484">
        <f>Oct20!O22</f>
        <v>734827.22</v>
      </c>
      <c r="D22" s="22">
        <f>Oct20!P22</f>
        <v>0</v>
      </c>
      <c r="E22" s="328"/>
      <c r="F22" s="122"/>
      <c r="G22" s="328"/>
      <c r="H22" s="332"/>
      <c r="I22" s="328"/>
      <c r="J22" s="122"/>
      <c r="K22" s="328"/>
      <c r="L22" s="332"/>
      <c r="M22" s="328"/>
      <c r="N22" s="122"/>
      <c r="O22" s="18">
        <f t="shared" si="0"/>
        <v>734827.22</v>
      </c>
      <c r="P22" s="122"/>
    </row>
    <row r="23" spans="1:16" s="29" customFormat="1" ht="12.75" customHeight="1">
      <c r="A23" s="74" t="s">
        <v>108</v>
      </c>
      <c r="B23" s="507" t="s">
        <v>106</v>
      </c>
      <c r="C23" s="484">
        <f>Oct20!O23</f>
        <v>1600</v>
      </c>
      <c r="D23" s="22">
        <f>Oct20!P23</f>
        <v>0</v>
      </c>
      <c r="E23" s="328">
        <v>800</v>
      </c>
      <c r="F23" s="122"/>
      <c r="G23" s="328"/>
      <c r="H23" s="332"/>
      <c r="I23" s="328"/>
      <c r="J23" s="122"/>
      <c r="K23" s="328"/>
      <c r="L23" s="332"/>
      <c r="M23" s="328"/>
      <c r="N23" s="122"/>
      <c r="O23" s="18">
        <f t="shared" si="0"/>
        <v>2400</v>
      </c>
      <c r="P23" s="122"/>
    </row>
    <row r="24" spans="1:16" s="29" customFormat="1" ht="12.75" customHeight="1">
      <c r="A24" s="49" t="s">
        <v>109</v>
      </c>
      <c r="B24" s="506" t="s">
        <v>107</v>
      </c>
      <c r="C24" s="484">
        <f>Oct20!O24</f>
        <v>0</v>
      </c>
      <c r="D24" s="22">
        <f>Oct20!P24</f>
        <v>0</v>
      </c>
      <c r="E24" s="328"/>
      <c r="F24" s="122"/>
      <c r="G24" s="328"/>
      <c r="H24" s="332"/>
      <c r="I24" s="328"/>
      <c r="J24" s="122"/>
      <c r="K24" s="328"/>
      <c r="L24" s="332"/>
      <c r="M24" s="328"/>
      <c r="N24" s="122"/>
      <c r="O24" s="18">
        <f t="shared" si="0"/>
        <v>0</v>
      </c>
      <c r="P24" s="122"/>
    </row>
    <row r="25" spans="1:16" s="29" customFormat="1" ht="12.75" customHeight="1">
      <c r="A25" s="49" t="s">
        <v>239</v>
      </c>
      <c r="B25" s="506" t="s">
        <v>240</v>
      </c>
      <c r="C25" s="484">
        <f>Oct20!O25</f>
        <v>0</v>
      </c>
      <c r="D25" s="22">
        <f>Oct20!P25</f>
        <v>0</v>
      </c>
      <c r="E25" s="328"/>
      <c r="F25" s="122"/>
      <c r="G25" s="328"/>
      <c r="H25" s="332"/>
      <c r="I25" s="328"/>
      <c r="J25" s="122"/>
      <c r="K25" s="328"/>
      <c r="L25" s="332"/>
      <c r="M25" s="328"/>
      <c r="N25" s="122"/>
      <c r="O25" s="18">
        <f t="shared" si="0"/>
        <v>0</v>
      </c>
      <c r="P25" s="122"/>
    </row>
    <row r="26" spans="1:16" s="29" customFormat="1" ht="12.75" customHeight="1">
      <c r="A26" s="49" t="s">
        <v>238</v>
      </c>
      <c r="B26" s="506" t="s">
        <v>231</v>
      </c>
      <c r="C26" s="484">
        <f>Oct20!O26</f>
        <v>0</v>
      </c>
      <c r="D26" s="22">
        <f>Oct20!P26</f>
        <v>0</v>
      </c>
      <c r="E26" s="328"/>
      <c r="F26" s="122"/>
      <c r="G26" s="328"/>
      <c r="H26" s="332"/>
      <c r="I26" s="328"/>
      <c r="J26" s="122"/>
      <c r="K26" s="328"/>
      <c r="L26" s="332"/>
      <c r="M26" s="328"/>
      <c r="N26" s="122"/>
      <c r="O26" s="18">
        <f t="shared" si="0"/>
        <v>0</v>
      </c>
      <c r="P26" s="122"/>
    </row>
    <row r="27" spans="1:16" s="29" customFormat="1" ht="12.75" customHeight="1">
      <c r="A27" s="49" t="s">
        <v>534</v>
      </c>
      <c r="B27" s="506" t="s">
        <v>526</v>
      </c>
      <c r="C27" s="484">
        <f>Oct20!O27</f>
        <v>0</v>
      </c>
      <c r="D27" s="22">
        <f>Oct20!P27</f>
        <v>0</v>
      </c>
      <c r="E27" s="328"/>
      <c r="F27" s="122"/>
      <c r="G27" s="328"/>
      <c r="H27" s="333"/>
      <c r="I27" s="328"/>
      <c r="J27" s="122"/>
      <c r="K27" s="328"/>
      <c r="L27" s="332"/>
      <c r="M27" s="328"/>
      <c r="N27" s="122"/>
      <c r="O27" s="18">
        <f t="shared" si="0"/>
        <v>0</v>
      </c>
      <c r="P27" s="122"/>
    </row>
    <row r="28" spans="1:16" s="29" customFormat="1" ht="12.75">
      <c r="A28" s="49" t="s">
        <v>732</v>
      </c>
      <c r="B28" s="506" t="s">
        <v>520</v>
      </c>
      <c r="C28" s="484">
        <f>Oct20!O28</f>
        <v>0</v>
      </c>
      <c r="D28" s="22">
        <f>Oct20!P28</f>
        <v>0</v>
      </c>
      <c r="E28" s="328"/>
      <c r="F28" s="122"/>
      <c r="G28" s="328"/>
      <c r="H28" s="333"/>
      <c r="I28" s="328"/>
      <c r="J28" s="122"/>
      <c r="K28" s="328"/>
      <c r="L28" s="332"/>
      <c r="M28" s="328"/>
      <c r="N28" s="122"/>
      <c r="O28" s="18">
        <f t="shared" si="0"/>
        <v>0</v>
      </c>
      <c r="P28" s="122"/>
    </row>
    <row r="29" spans="1:16" s="29" customFormat="1" ht="12.75">
      <c r="A29" s="49" t="s">
        <v>213</v>
      </c>
      <c r="B29" s="506" t="s">
        <v>209</v>
      </c>
      <c r="C29" s="484">
        <f>Oct20!O29</f>
        <v>0</v>
      </c>
      <c r="D29" s="22">
        <f>Oct20!P29</f>
        <v>0</v>
      </c>
      <c r="E29" s="328"/>
      <c r="F29" s="122"/>
      <c r="G29" s="328"/>
      <c r="H29" s="332"/>
      <c r="I29" s="328"/>
      <c r="J29" s="122"/>
      <c r="K29" s="328"/>
      <c r="L29" s="332"/>
      <c r="M29" s="328"/>
      <c r="N29" s="122"/>
      <c r="O29" s="18">
        <f t="shared" si="0"/>
        <v>0</v>
      </c>
      <c r="P29" s="122"/>
    </row>
    <row r="30" spans="1:16" s="29" customFormat="1" ht="12.75">
      <c r="A30" s="49" t="s">
        <v>201</v>
      </c>
      <c r="B30" s="506" t="s">
        <v>200</v>
      </c>
      <c r="C30" s="484">
        <f>Oct20!O30</f>
        <v>0</v>
      </c>
      <c r="D30" s="22">
        <f>Oct20!P30</f>
        <v>0</v>
      </c>
      <c r="E30" s="328"/>
      <c r="F30" s="122"/>
      <c r="G30" s="328"/>
      <c r="H30" s="332"/>
      <c r="I30" s="328"/>
      <c r="J30" s="122"/>
      <c r="K30" s="328"/>
      <c r="L30" s="332"/>
      <c r="M30" s="328"/>
      <c r="N30" s="122"/>
      <c r="O30" s="18">
        <f t="shared" si="0"/>
        <v>0</v>
      </c>
      <c r="P30" s="122"/>
    </row>
    <row r="31" spans="1:16" s="29" customFormat="1" ht="12.75">
      <c r="A31" s="49" t="s">
        <v>202</v>
      </c>
      <c r="B31" s="506" t="s">
        <v>203</v>
      </c>
      <c r="C31" s="484">
        <f>Oct20!O31</f>
        <v>10678</v>
      </c>
      <c r="D31" s="22">
        <f>Oct20!P31</f>
        <v>0</v>
      </c>
      <c r="E31" s="328"/>
      <c r="F31" s="122">
        <v>10678</v>
      </c>
      <c r="G31" s="328"/>
      <c r="H31" s="332"/>
      <c r="I31" s="328"/>
      <c r="J31" s="122"/>
      <c r="K31" s="328"/>
      <c r="L31" s="332"/>
      <c r="M31" s="328"/>
      <c r="N31" s="122"/>
      <c r="O31" s="18">
        <f t="shared" si="0"/>
        <v>0</v>
      </c>
      <c r="P31" s="122"/>
    </row>
    <row r="32" spans="1:16" s="29" customFormat="1" ht="12.75">
      <c r="A32" s="49" t="s">
        <v>727</v>
      </c>
      <c r="B32" s="506" t="s">
        <v>728</v>
      </c>
      <c r="C32" s="484">
        <f>Oct20!O32</f>
        <v>4306110.029999999</v>
      </c>
      <c r="D32" s="22">
        <f>Oct20!P32</f>
        <v>0</v>
      </c>
      <c r="E32" s="328"/>
      <c r="F32" s="122"/>
      <c r="G32" s="328"/>
      <c r="H32" s="332"/>
      <c r="I32" s="328"/>
      <c r="J32" s="122"/>
      <c r="K32" s="328"/>
      <c r="L32" s="332"/>
      <c r="M32" s="328"/>
      <c r="N32" s="122"/>
      <c r="O32" s="18">
        <f t="shared" si="0"/>
        <v>4306110.029999999</v>
      </c>
      <c r="P32" s="122"/>
    </row>
    <row r="33" spans="1:16" s="29" customFormat="1" ht="12.75">
      <c r="A33" s="49" t="s">
        <v>12</v>
      </c>
      <c r="B33" s="506" t="s">
        <v>111</v>
      </c>
      <c r="C33" s="484">
        <f>Oct20!O33</f>
        <v>1208049.99</v>
      </c>
      <c r="D33" s="22">
        <f>Oct20!P33</f>
        <v>0</v>
      </c>
      <c r="E33" s="328"/>
      <c r="F33" s="122"/>
      <c r="G33" s="328"/>
      <c r="H33" s="122"/>
      <c r="I33" s="328"/>
      <c r="J33" s="122"/>
      <c r="K33" s="328"/>
      <c r="L33" s="122"/>
      <c r="M33" s="328"/>
      <c r="N33" s="122"/>
      <c r="O33" s="18">
        <f t="shared" si="0"/>
        <v>1208049.99</v>
      </c>
      <c r="P33" s="122"/>
    </row>
    <row r="34" spans="1:16" s="29" customFormat="1" ht="12.75">
      <c r="A34" s="49" t="s">
        <v>120</v>
      </c>
      <c r="B34" s="506" t="s">
        <v>112</v>
      </c>
      <c r="C34" s="484">
        <f>Oct20!O34</f>
        <v>0</v>
      </c>
      <c r="D34" s="22">
        <f>Oct20!P34</f>
        <v>364327.7</v>
      </c>
      <c r="E34" s="328"/>
      <c r="F34" s="122"/>
      <c r="G34" s="328"/>
      <c r="H34" s="122"/>
      <c r="I34" s="328"/>
      <c r="J34" s="122"/>
      <c r="K34" s="328"/>
      <c r="L34" s="122"/>
      <c r="M34" s="328"/>
      <c r="N34" s="122"/>
      <c r="O34" s="18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506" t="s">
        <v>113</v>
      </c>
      <c r="C35" s="484">
        <f>Oct20!O35</f>
        <v>1155878</v>
      </c>
      <c r="D35" s="22">
        <f>Oct20!P35</f>
        <v>0</v>
      </c>
      <c r="E35" s="328">
        <f>894000+150000</f>
        <v>1044000</v>
      </c>
      <c r="F35" s="122"/>
      <c r="G35" s="328"/>
      <c r="H35" s="122"/>
      <c r="I35" s="328"/>
      <c r="J35" s="122"/>
      <c r="K35" s="328"/>
      <c r="L35" s="122"/>
      <c r="M35" s="328"/>
      <c r="N35" s="122">
        <v>497500</v>
      </c>
      <c r="O35" s="18">
        <f t="shared" si="0"/>
        <v>1702378</v>
      </c>
      <c r="P35" s="122"/>
    </row>
    <row r="36" spans="1:16" s="29" customFormat="1" ht="12.75" customHeight="1">
      <c r="A36" s="49" t="s">
        <v>115</v>
      </c>
      <c r="B36" s="506" t="s">
        <v>121</v>
      </c>
      <c r="C36" s="484">
        <f>Oct20!O36</f>
        <v>0</v>
      </c>
      <c r="D36" s="22">
        <f>Oct20!P36</f>
        <v>422310.89</v>
      </c>
      <c r="E36" s="328"/>
      <c r="F36" s="122"/>
      <c r="G36" s="328"/>
      <c r="H36" s="122"/>
      <c r="I36" s="328"/>
      <c r="J36" s="122"/>
      <c r="K36" s="328"/>
      <c r="L36" s="122"/>
      <c r="M36" s="328"/>
      <c r="N36" s="122"/>
      <c r="O36" s="18"/>
      <c r="P36" s="122">
        <f>D36+F36+J36+N36+H36-E36-G36-I36-M36+L36-K36</f>
        <v>422310.89</v>
      </c>
    </row>
    <row r="37" spans="1:16" s="29" customFormat="1" ht="12.75" customHeight="1">
      <c r="A37" s="49" t="s">
        <v>780</v>
      </c>
      <c r="B37" s="262" t="s">
        <v>778</v>
      </c>
      <c r="C37" s="484">
        <f>Oct20!O37</f>
        <v>42854819</v>
      </c>
      <c r="D37" s="22">
        <f>Oct20!P37</f>
        <v>0</v>
      </c>
      <c r="E37" s="328"/>
      <c r="F37" s="122"/>
      <c r="G37" s="328"/>
      <c r="H37" s="122"/>
      <c r="I37" s="328"/>
      <c r="J37" s="122"/>
      <c r="K37" s="328"/>
      <c r="L37" s="122"/>
      <c r="M37" s="328"/>
      <c r="N37" s="122"/>
      <c r="O37" s="18">
        <f t="shared" si="0"/>
        <v>42854819</v>
      </c>
      <c r="P37" s="122"/>
    </row>
    <row r="38" spans="1:16" s="29" customFormat="1" ht="12.75" customHeight="1">
      <c r="A38" s="49" t="s">
        <v>781</v>
      </c>
      <c r="B38" s="262" t="s">
        <v>779</v>
      </c>
      <c r="C38" s="484">
        <f>Oct20!O38</f>
        <v>0</v>
      </c>
      <c r="D38" s="22">
        <f>Oct20!P38</f>
        <v>434368.27</v>
      </c>
      <c r="E38" s="328"/>
      <c r="F38" s="122"/>
      <c r="G38" s="328"/>
      <c r="H38" s="122"/>
      <c r="I38" s="328"/>
      <c r="J38" s="122"/>
      <c r="K38" s="328"/>
      <c r="L38" s="122"/>
      <c r="M38" s="328"/>
      <c r="N38" s="122">
        <v>228719.54</v>
      </c>
      <c r="O38" s="18"/>
      <c r="P38" s="122">
        <f>D38+F38+J38+N38+H38-E38-G38-I38-M38+L38-K38</f>
        <v>663087.81</v>
      </c>
    </row>
    <row r="39" spans="1:16" s="29" customFormat="1" ht="12.75" customHeight="1">
      <c r="A39" s="49" t="s">
        <v>782</v>
      </c>
      <c r="B39" s="262" t="s">
        <v>783</v>
      </c>
      <c r="C39" s="484">
        <f>Oct20!O39</f>
        <v>968000</v>
      </c>
      <c r="D39" s="22">
        <f>Oct20!P39</f>
        <v>0</v>
      </c>
      <c r="E39" s="328"/>
      <c r="F39" s="122"/>
      <c r="G39" s="328"/>
      <c r="H39" s="122"/>
      <c r="I39" s="328"/>
      <c r="J39" s="122"/>
      <c r="K39" s="328"/>
      <c r="L39" s="122"/>
      <c r="M39" s="328"/>
      <c r="N39" s="122"/>
      <c r="O39" s="18">
        <f t="shared" si="0"/>
        <v>968000</v>
      </c>
      <c r="P39" s="122"/>
    </row>
    <row r="40" spans="1:16" s="29" customFormat="1" ht="12.75" customHeight="1">
      <c r="A40" s="49" t="s">
        <v>784</v>
      </c>
      <c r="B40" s="262" t="s">
        <v>785</v>
      </c>
      <c r="C40" s="484">
        <f>Oct20!O40</f>
        <v>0</v>
      </c>
      <c r="D40" s="22">
        <f>Oct20!P40</f>
        <v>0</v>
      </c>
      <c r="E40" s="328"/>
      <c r="F40" s="122"/>
      <c r="G40" s="328"/>
      <c r="H40" s="122"/>
      <c r="I40" s="328"/>
      <c r="J40" s="122"/>
      <c r="K40" s="328"/>
      <c r="L40" s="122"/>
      <c r="M40" s="328"/>
      <c r="N40" s="122"/>
      <c r="O40" s="18"/>
      <c r="P40" s="122">
        <f>D40+F40+J40+N40+H40-E40-G40-I40-M40+L40-K40</f>
        <v>0</v>
      </c>
    </row>
    <row r="41" spans="1:16" s="29" customFormat="1" ht="12.75" customHeight="1">
      <c r="A41" s="49" t="s">
        <v>786</v>
      </c>
      <c r="B41" s="262" t="s">
        <v>788</v>
      </c>
      <c r="C41" s="484">
        <f>Oct20!O41</f>
        <v>2383848.55</v>
      </c>
      <c r="D41" s="22">
        <f>Oct20!P41</f>
        <v>0</v>
      </c>
      <c r="E41" s="328"/>
      <c r="F41" s="122"/>
      <c r="G41" s="328"/>
      <c r="H41" s="122"/>
      <c r="I41" s="328"/>
      <c r="J41" s="122"/>
      <c r="K41" s="328"/>
      <c r="L41" s="122"/>
      <c r="M41" s="328"/>
      <c r="N41" s="122"/>
      <c r="O41" s="18">
        <f t="shared" si="0"/>
        <v>2383848.55</v>
      </c>
      <c r="P41" s="122"/>
    </row>
    <row r="42" spans="1:16" s="29" customFormat="1" ht="12.75" customHeight="1">
      <c r="A42" s="49" t="s">
        <v>787</v>
      </c>
      <c r="B42" s="262" t="s">
        <v>789</v>
      </c>
      <c r="C42" s="484">
        <f>Oct20!O42</f>
        <v>0</v>
      </c>
      <c r="D42" s="22">
        <f>Oct20!P42</f>
        <v>0</v>
      </c>
      <c r="E42" s="328"/>
      <c r="F42" s="122"/>
      <c r="G42" s="328"/>
      <c r="H42" s="122"/>
      <c r="I42" s="328"/>
      <c r="J42" s="122"/>
      <c r="K42" s="328"/>
      <c r="L42" s="122"/>
      <c r="M42" s="328"/>
      <c r="N42" s="122">
        <v>8939.43</v>
      </c>
      <c r="O42" s="18"/>
      <c r="P42" s="122">
        <f>D42+F42+J42+N42+H42-E42-G42-I42-M42+L42-K42</f>
        <v>8939.43</v>
      </c>
    </row>
    <row r="43" spans="1:16" s="29" customFormat="1" ht="12.75" customHeight="1">
      <c r="A43" s="49" t="s">
        <v>530</v>
      </c>
      <c r="B43" s="506" t="s">
        <v>533</v>
      </c>
      <c r="C43" s="484">
        <f>Oct20!O43</f>
        <v>40622</v>
      </c>
      <c r="D43" s="22">
        <f>Oct20!P43</f>
        <v>0</v>
      </c>
      <c r="E43" s="328">
        <v>79500</v>
      </c>
      <c r="F43" s="122"/>
      <c r="G43" s="328"/>
      <c r="H43" s="122"/>
      <c r="I43" s="328"/>
      <c r="J43" s="122"/>
      <c r="K43" s="328"/>
      <c r="L43" s="122"/>
      <c r="M43" s="328"/>
      <c r="N43" s="122"/>
      <c r="O43" s="18">
        <f t="shared" si="0"/>
        <v>120122</v>
      </c>
      <c r="P43" s="122"/>
    </row>
    <row r="44" spans="1:16" s="29" customFormat="1" ht="12.75">
      <c r="A44" s="49" t="s">
        <v>531</v>
      </c>
      <c r="B44" s="506" t="s">
        <v>532</v>
      </c>
      <c r="C44" s="484">
        <f>Oct20!O44</f>
        <v>0</v>
      </c>
      <c r="D44" s="22">
        <f>Oct20!P44</f>
        <v>9647.73</v>
      </c>
      <c r="E44" s="328"/>
      <c r="F44" s="122"/>
      <c r="G44" s="328"/>
      <c r="H44" s="122"/>
      <c r="I44" s="328"/>
      <c r="J44" s="122"/>
      <c r="K44" s="328"/>
      <c r="L44" s="122"/>
      <c r="M44" s="328"/>
      <c r="N44" s="122"/>
      <c r="O44" s="18"/>
      <c r="P44" s="122">
        <f>D44+F44+J44+N44+H44-E44-G44-I44-M44+L44-K44</f>
        <v>9647.73</v>
      </c>
    </row>
    <row r="45" spans="1:16" s="29" customFormat="1" ht="12.75">
      <c r="A45" s="49" t="s">
        <v>128</v>
      </c>
      <c r="B45" s="506" t="s">
        <v>130</v>
      </c>
      <c r="C45" s="484">
        <f>Oct20!O45</f>
        <v>545970</v>
      </c>
      <c r="D45" s="22">
        <f>Oct20!P45</f>
        <v>0</v>
      </c>
      <c r="E45" s="328"/>
      <c r="F45" s="122"/>
      <c r="G45" s="328"/>
      <c r="H45" s="122"/>
      <c r="I45" s="328"/>
      <c r="J45" s="122"/>
      <c r="K45" s="328"/>
      <c r="L45" s="122"/>
      <c r="M45" s="328"/>
      <c r="N45" s="122"/>
      <c r="O45" s="18">
        <f t="shared" si="0"/>
        <v>545970</v>
      </c>
      <c r="P45" s="122"/>
    </row>
    <row r="46" spans="1:16" s="29" customFormat="1" ht="12.75">
      <c r="A46" s="49" t="s">
        <v>129</v>
      </c>
      <c r="B46" s="506" t="s">
        <v>131</v>
      </c>
      <c r="C46" s="484">
        <f>Oct20!O46</f>
        <v>0</v>
      </c>
      <c r="D46" s="22">
        <f>Oct20!P46</f>
        <v>370243.56</v>
      </c>
      <c r="E46" s="328"/>
      <c r="F46" s="122"/>
      <c r="G46" s="328"/>
      <c r="H46" s="122"/>
      <c r="I46" s="328"/>
      <c r="J46" s="122"/>
      <c r="K46" s="328"/>
      <c r="L46" s="122"/>
      <c r="M46" s="328"/>
      <c r="N46" s="122"/>
      <c r="O46" s="18"/>
      <c r="P46" s="122">
        <f>D46+F46+J46+N46+H46-E46-G46-I46-M46+L46-K46</f>
        <v>370243.56</v>
      </c>
    </row>
    <row r="47" spans="1:16" s="29" customFormat="1" ht="12.75">
      <c r="A47" s="49" t="s">
        <v>41</v>
      </c>
      <c r="B47" s="506" t="s">
        <v>126</v>
      </c>
      <c r="C47" s="484">
        <f>Oct20!O47</f>
        <v>2391000</v>
      </c>
      <c r="D47" s="22">
        <f>Oct20!P47</f>
        <v>0</v>
      </c>
      <c r="E47" s="328"/>
      <c r="F47" s="122"/>
      <c r="G47" s="328"/>
      <c r="H47" s="122"/>
      <c r="I47" s="328"/>
      <c r="J47" s="122"/>
      <c r="K47" s="328"/>
      <c r="L47" s="122"/>
      <c r="M47" s="328"/>
      <c r="N47" s="122"/>
      <c r="O47" s="18">
        <f t="shared" si="0"/>
        <v>2391000</v>
      </c>
      <c r="P47" s="122"/>
    </row>
    <row r="48" spans="1:16" s="29" customFormat="1" ht="12.75">
      <c r="A48" s="49" t="s">
        <v>42</v>
      </c>
      <c r="B48" s="506" t="s">
        <v>127</v>
      </c>
      <c r="C48" s="484">
        <f>Oct20!O48</f>
        <v>0</v>
      </c>
      <c r="D48" s="22">
        <f>Oct20!P48</f>
        <v>854100</v>
      </c>
      <c r="E48" s="328"/>
      <c r="F48" s="122"/>
      <c r="G48" s="328"/>
      <c r="H48" s="122"/>
      <c r="I48" s="328"/>
      <c r="J48" s="122"/>
      <c r="K48" s="328"/>
      <c r="L48" s="122"/>
      <c r="M48" s="328"/>
      <c r="N48" s="122"/>
      <c r="O48" s="18"/>
      <c r="P48" s="122">
        <f>D48+F48+J48+N48+H48-E48-G48-I48-M48+L48-K48</f>
        <v>854100</v>
      </c>
    </row>
    <row r="49" spans="1:16" s="29" customFormat="1" ht="12.75">
      <c r="A49" s="49" t="s">
        <v>13</v>
      </c>
      <c r="B49" s="506" t="s">
        <v>118</v>
      </c>
      <c r="C49" s="484">
        <f>Oct20!O49</f>
        <v>631727.2</v>
      </c>
      <c r="D49" s="22">
        <f>Oct20!P49</f>
        <v>0</v>
      </c>
      <c r="E49" s="328"/>
      <c r="F49" s="122"/>
      <c r="G49" s="328"/>
      <c r="H49" s="122"/>
      <c r="I49" s="328"/>
      <c r="J49" s="122"/>
      <c r="K49" s="328"/>
      <c r="L49" s="122"/>
      <c r="M49" s="328"/>
      <c r="N49" s="122"/>
      <c r="O49" s="18">
        <f t="shared" si="0"/>
        <v>631727.2</v>
      </c>
      <c r="P49" s="122"/>
    </row>
    <row r="50" spans="1:16" s="29" customFormat="1" ht="12.75">
      <c r="A50" s="49" t="s">
        <v>14</v>
      </c>
      <c r="B50" s="506" t="s">
        <v>119</v>
      </c>
      <c r="C50" s="484">
        <f>Oct20!O50</f>
        <v>0</v>
      </c>
      <c r="D50" s="22">
        <f>Oct20!P50</f>
        <v>319092.84</v>
      </c>
      <c r="E50" s="328"/>
      <c r="F50" s="122"/>
      <c r="G50" s="328"/>
      <c r="H50" s="122"/>
      <c r="I50" s="328"/>
      <c r="J50" s="122"/>
      <c r="K50" s="328"/>
      <c r="L50" s="122"/>
      <c r="M50" s="328"/>
      <c r="N50" s="122"/>
      <c r="O50" s="18"/>
      <c r="P50" s="122">
        <f>D50+F50+J50+N50+H50-E50-G50-I50-M50+L50-K50</f>
        <v>319092.84</v>
      </c>
    </row>
    <row r="51" spans="1:16" s="29" customFormat="1" ht="12.75">
      <c r="A51" s="49" t="s">
        <v>680</v>
      </c>
      <c r="B51" s="506" t="s">
        <v>681</v>
      </c>
      <c r="C51" s="484">
        <f>Oct20!O51</f>
        <v>0</v>
      </c>
      <c r="D51" s="22">
        <f>Oct20!P51</f>
        <v>0</v>
      </c>
      <c r="E51" s="328"/>
      <c r="F51" s="122"/>
      <c r="G51" s="328"/>
      <c r="H51" s="122"/>
      <c r="I51" s="328"/>
      <c r="J51" s="122"/>
      <c r="K51" s="328"/>
      <c r="L51" s="122"/>
      <c r="M51" s="328"/>
      <c r="N51" s="122"/>
      <c r="O51" s="18">
        <f t="shared" si="0"/>
        <v>0</v>
      </c>
      <c r="P51" s="122"/>
    </row>
    <row r="52" spans="1:16" s="29" customFormat="1" ht="12.75">
      <c r="A52" s="49" t="s">
        <v>683</v>
      </c>
      <c r="B52" s="506" t="s">
        <v>682</v>
      </c>
      <c r="C52" s="484">
        <f>Oct20!O52</f>
        <v>0</v>
      </c>
      <c r="D52" s="22">
        <f>Oct20!P52</f>
        <v>0</v>
      </c>
      <c r="E52" s="328"/>
      <c r="F52" s="122"/>
      <c r="G52" s="328"/>
      <c r="H52" s="122"/>
      <c r="I52" s="328"/>
      <c r="J52" s="122"/>
      <c r="K52" s="328"/>
      <c r="L52" s="122"/>
      <c r="M52" s="328"/>
      <c r="N52" s="122"/>
      <c r="O52" s="18"/>
      <c r="P52" s="122">
        <f>D52+F52+J52+N52+H52-E52-G52-I52-M52+L52-K52</f>
        <v>0</v>
      </c>
    </row>
    <row r="53" spans="1:16" s="29" customFormat="1" ht="12.75">
      <c r="A53" s="49" t="s">
        <v>559</v>
      </c>
      <c r="B53" s="506" t="s">
        <v>558</v>
      </c>
      <c r="C53" s="484">
        <f>Oct20!O53</f>
        <v>0</v>
      </c>
      <c r="D53" s="22">
        <f>Oct20!P53</f>
        <v>0</v>
      </c>
      <c r="E53" s="328"/>
      <c r="F53" s="122"/>
      <c r="G53" s="328"/>
      <c r="H53" s="122"/>
      <c r="I53" s="328"/>
      <c r="J53" s="122"/>
      <c r="K53" s="328"/>
      <c r="L53" s="122"/>
      <c r="M53" s="328"/>
      <c r="N53" s="122"/>
      <c r="O53" s="18">
        <f t="shared" si="0"/>
        <v>0</v>
      </c>
      <c r="P53" s="122"/>
    </row>
    <row r="54" spans="1:16" s="29" customFormat="1" ht="12.75">
      <c r="A54" s="54" t="s">
        <v>15</v>
      </c>
      <c r="B54" s="506" t="s">
        <v>132</v>
      </c>
      <c r="C54" s="484">
        <f>Oct20!O54</f>
        <v>327763.39</v>
      </c>
      <c r="D54" s="22">
        <f>Oct20!P54</f>
        <v>0</v>
      </c>
      <c r="E54" s="328"/>
      <c r="F54" s="122"/>
      <c r="G54" s="328"/>
      <c r="H54" s="122"/>
      <c r="I54" s="328"/>
      <c r="J54" s="122"/>
      <c r="K54" s="328"/>
      <c r="L54" s="122"/>
      <c r="M54" s="328"/>
      <c r="N54" s="122"/>
      <c r="O54" s="18">
        <f t="shared" si="0"/>
        <v>327763.39</v>
      </c>
      <c r="P54" s="122"/>
    </row>
    <row r="55" spans="1:17" s="29" customFormat="1" ht="12.75">
      <c r="A55" s="8"/>
      <c r="B55" s="508"/>
      <c r="C55" s="484">
        <f>Oct20!O55</f>
        <v>0</v>
      </c>
      <c r="D55" s="22">
        <f>Oct20!P55</f>
        <v>0</v>
      </c>
      <c r="E55" s="328"/>
      <c r="F55" s="122"/>
      <c r="G55" s="328"/>
      <c r="H55" s="122"/>
      <c r="I55" s="328"/>
      <c r="J55" s="122"/>
      <c r="K55" s="328"/>
      <c r="L55" s="122"/>
      <c r="M55" s="328"/>
      <c r="N55" s="122"/>
      <c r="O55" s="18"/>
      <c r="P55" s="122"/>
      <c r="Q55" s="55"/>
    </row>
    <row r="56" spans="1:17" s="29" customFormat="1" ht="12.75" customHeight="1">
      <c r="A56" s="7" t="s">
        <v>16</v>
      </c>
      <c r="B56" s="508"/>
      <c r="C56" s="484">
        <f>Oct20!O56</f>
        <v>0</v>
      </c>
      <c r="D56" s="22">
        <f>Oct20!P56</f>
        <v>0</v>
      </c>
      <c r="E56" s="328"/>
      <c r="F56" s="122"/>
      <c r="G56" s="328"/>
      <c r="H56" s="122"/>
      <c r="I56" s="328"/>
      <c r="J56" s="122"/>
      <c r="K56" s="328"/>
      <c r="L56" s="122"/>
      <c r="M56" s="328"/>
      <c r="N56" s="122"/>
      <c r="O56" s="18"/>
      <c r="P56" s="122"/>
      <c r="Q56" s="55"/>
    </row>
    <row r="57" spans="1:17" s="29" customFormat="1" ht="12.75" customHeight="1">
      <c r="A57" s="49" t="s">
        <v>31</v>
      </c>
      <c r="B57" s="506" t="s">
        <v>133</v>
      </c>
      <c r="C57" s="484">
        <f>Oct20!O57</f>
        <v>0</v>
      </c>
      <c r="D57" s="22">
        <f>Oct20!P57</f>
        <v>35250</v>
      </c>
      <c r="E57" s="328"/>
      <c r="F57" s="122"/>
      <c r="G57" s="328"/>
      <c r="H57" s="122"/>
      <c r="I57" s="328"/>
      <c r="J57" s="122"/>
      <c r="K57" s="328"/>
      <c r="L57" s="122"/>
      <c r="M57" s="328"/>
      <c r="N57" s="122"/>
      <c r="O57" s="18"/>
      <c r="P57" s="122">
        <f aca="true" t="shared" si="1" ref="P57:P62">D57+F57+J57+N57+H57-E57-G57-I57-M57+L57-K57</f>
        <v>35250</v>
      </c>
      <c r="Q57" s="55"/>
    </row>
    <row r="58" spans="1:16" s="29" customFormat="1" ht="12.75">
      <c r="A58" s="49" t="s">
        <v>46</v>
      </c>
      <c r="B58" s="506" t="s">
        <v>134</v>
      </c>
      <c r="C58" s="484">
        <f>Oct20!O58</f>
        <v>0</v>
      </c>
      <c r="D58" s="22">
        <f>Oct20!P58</f>
        <v>330084.42999999993</v>
      </c>
      <c r="E58" s="328"/>
      <c r="F58" s="122">
        <v>304349.38</v>
      </c>
      <c r="G58" s="328"/>
      <c r="H58" s="122"/>
      <c r="I58" s="328"/>
      <c r="J58" s="122"/>
      <c r="K58" s="328"/>
      <c r="L58" s="122"/>
      <c r="M58" s="328">
        <v>330084.43</v>
      </c>
      <c r="N58" s="122"/>
      <c r="O58" s="18"/>
      <c r="P58" s="122">
        <f t="shared" si="1"/>
        <v>304349.37999999995</v>
      </c>
    </row>
    <row r="59" spans="1:16" s="29" customFormat="1" ht="12.75">
      <c r="A59" s="74" t="s">
        <v>685</v>
      </c>
      <c r="B59" s="507" t="s">
        <v>684</v>
      </c>
      <c r="C59" s="484">
        <f>Oct20!O59</f>
        <v>0</v>
      </c>
      <c r="D59" s="22">
        <f>Oct20!P59</f>
        <v>677823.9000000001</v>
      </c>
      <c r="E59" s="328">
        <v>90609.3</v>
      </c>
      <c r="F59" s="122">
        <v>105577.83</v>
      </c>
      <c r="G59" s="328"/>
      <c r="H59" s="122"/>
      <c r="I59" s="328"/>
      <c r="J59" s="122"/>
      <c r="K59" s="328"/>
      <c r="L59" s="122"/>
      <c r="M59" s="328"/>
      <c r="N59" s="122"/>
      <c r="O59" s="18"/>
      <c r="P59" s="122">
        <f t="shared" si="1"/>
        <v>692792.43</v>
      </c>
    </row>
    <row r="60" spans="1:17" s="29" customFormat="1" ht="12.75">
      <c r="A60" s="74" t="s">
        <v>686</v>
      </c>
      <c r="B60" s="507" t="s">
        <v>688</v>
      </c>
      <c r="C60" s="484">
        <f>Oct20!O60</f>
        <v>0</v>
      </c>
      <c r="D60" s="22">
        <f>Oct20!P60</f>
        <v>106874.17999999995</v>
      </c>
      <c r="E60" s="328">
        <v>96425.92</v>
      </c>
      <c r="F60" s="122"/>
      <c r="G60" s="328"/>
      <c r="H60" s="122"/>
      <c r="I60" s="328"/>
      <c r="J60" s="122"/>
      <c r="K60" s="328"/>
      <c r="L60" s="122"/>
      <c r="M60" s="328"/>
      <c r="N60" s="122"/>
      <c r="O60" s="18"/>
      <c r="P60" s="122">
        <f t="shared" si="1"/>
        <v>10448.259999999951</v>
      </c>
      <c r="Q60" s="55"/>
    </row>
    <row r="61" spans="1:17" s="29" customFormat="1" ht="12.75">
      <c r="A61" s="74" t="s">
        <v>687</v>
      </c>
      <c r="B61" s="507" t="s">
        <v>689</v>
      </c>
      <c r="C61" s="484">
        <f>Oct20!O61</f>
        <v>0</v>
      </c>
      <c r="D61" s="22">
        <f>Oct20!P61</f>
        <v>75977.20999999999</v>
      </c>
      <c r="E61" s="328">
        <v>64199.35</v>
      </c>
      <c r="F61" s="122"/>
      <c r="G61" s="328"/>
      <c r="H61" s="122"/>
      <c r="I61" s="328"/>
      <c r="J61" s="122"/>
      <c r="K61" s="328"/>
      <c r="L61" s="122"/>
      <c r="M61" s="328"/>
      <c r="N61" s="122"/>
      <c r="O61" s="18"/>
      <c r="P61" s="122">
        <f t="shared" si="1"/>
        <v>11777.859999999993</v>
      </c>
      <c r="Q61" s="55"/>
    </row>
    <row r="62" spans="1:17" s="29" customFormat="1" ht="12.75">
      <c r="A62" s="49" t="s">
        <v>690</v>
      </c>
      <c r="B62" s="506" t="s">
        <v>692</v>
      </c>
      <c r="C62" s="484">
        <f>Oct20!O62</f>
        <v>0</v>
      </c>
      <c r="D62" s="22">
        <f>Oct20!P62</f>
        <v>5526.359999999999</v>
      </c>
      <c r="E62" s="328"/>
      <c r="F62" s="122">
        <v>3184.68</v>
      </c>
      <c r="G62" s="328"/>
      <c r="H62" s="122"/>
      <c r="I62" s="328"/>
      <c r="J62" s="122"/>
      <c r="K62" s="328"/>
      <c r="L62" s="122"/>
      <c r="M62" s="328"/>
      <c r="N62" s="122"/>
      <c r="O62" s="18"/>
      <c r="P62" s="122">
        <f t="shared" si="1"/>
        <v>8711.039999999999</v>
      </c>
      <c r="Q62" s="55"/>
    </row>
    <row r="63" spans="1:16" s="29" customFormat="1" ht="12.75">
      <c r="A63" s="49" t="s">
        <v>691</v>
      </c>
      <c r="B63" s="506" t="s">
        <v>693</v>
      </c>
      <c r="C63" s="484">
        <f>Oct20!O63</f>
        <v>0</v>
      </c>
      <c r="D63" s="22">
        <f>Oct20!P63</f>
        <v>2084.67</v>
      </c>
      <c r="E63" s="328"/>
      <c r="F63" s="122">
        <v>518.45</v>
      </c>
      <c r="G63" s="328"/>
      <c r="H63" s="122"/>
      <c r="I63" s="328"/>
      <c r="J63" s="122"/>
      <c r="K63" s="328"/>
      <c r="L63" s="122"/>
      <c r="M63" s="328"/>
      <c r="N63" s="122"/>
      <c r="O63" s="18"/>
      <c r="P63" s="122">
        <f>D63+F63+J63+N63+H63-E63-G63-I63-M63+L63-K63</f>
        <v>2603.12</v>
      </c>
    </row>
    <row r="64" spans="1:17" s="29" customFormat="1" ht="12.75">
      <c r="A64" s="49" t="s">
        <v>47</v>
      </c>
      <c r="B64" s="506" t="s">
        <v>137</v>
      </c>
      <c r="C64" s="484">
        <f>Oct20!O64</f>
        <v>0</v>
      </c>
      <c r="D64" s="22">
        <f>Oct20!P64</f>
        <v>15715.080000000007</v>
      </c>
      <c r="E64" s="328"/>
      <c r="F64" s="122">
        <v>13716.28</v>
      </c>
      <c r="G64" s="328"/>
      <c r="H64" s="122"/>
      <c r="I64" s="328"/>
      <c r="J64" s="122"/>
      <c r="K64" s="328"/>
      <c r="L64" s="328"/>
      <c r="M64" s="328"/>
      <c r="N64" s="122"/>
      <c r="O64" s="18"/>
      <c r="P64" s="122">
        <f>D64+F64+J64+N64+H64-E64-G64-I64-M64+L64-K64</f>
        <v>29431.360000000008</v>
      </c>
      <c r="Q64" s="55"/>
    </row>
    <row r="65" spans="1:16" s="29" customFormat="1" ht="12.75">
      <c r="A65" s="74" t="s">
        <v>59</v>
      </c>
      <c r="B65" s="507" t="s">
        <v>138</v>
      </c>
      <c r="C65" s="484">
        <f>Oct20!O65</f>
        <v>0</v>
      </c>
      <c r="D65" s="22">
        <f>Oct20!P65</f>
        <v>30780.25000000005</v>
      </c>
      <c r="E65" s="326">
        <v>8488.88</v>
      </c>
      <c r="F65" s="62">
        <v>22208.74</v>
      </c>
      <c r="G65" s="326"/>
      <c r="H65" s="62"/>
      <c r="I65" s="326"/>
      <c r="J65" s="62"/>
      <c r="K65" s="326"/>
      <c r="L65" s="62"/>
      <c r="M65" s="326"/>
      <c r="N65" s="62"/>
      <c r="O65" s="18"/>
      <c r="P65" s="122">
        <f>D65+F65+J65+N65+H65-E65-G65-I65-M65+L65-K65</f>
        <v>44500.11000000005</v>
      </c>
    </row>
    <row r="66" spans="1:16" s="29" customFormat="1" ht="12.75">
      <c r="A66" s="49" t="s">
        <v>17</v>
      </c>
      <c r="B66" s="506" t="s">
        <v>139</v>
      </c>
      <c r="C66" s="484">
        <f>Oct20!O66</f>
        <v>0</v>
      </c>
      <c r="D66" s="22">
        <f>Oct20!P66</f>
        <v>0</v>
      </c>
      <c r="E66" s="326"/>
      <c r="F66" s="62"/>
      <c r="G66" s="326"/>
      <c r="H66" s="62"/>
      <c r="I66" s="326"/>
      <c r="J66" s="62"/>
      <c r="K66" s="326"/>
      <c r="L66" s="62"/>
      <c r="M66" s="326"/>
      <c r="N66" s="62"/>
      <c r="O66" s="18"/>
      <c r="P66" s="62"/>
    </row>
    <row r="67" spans="1:17" s="29" customFormat="1" ht="12.75">
      <c r="A67" s="8"/>
      <c r="B67" s="508"/>
      <c r="C67" s="484">
        <f>Oct20!O67</f>
        <v>0</v>
      </c>
      <c r="D67" s="22">
        <f>Oct20!P67</f>
        <v>0</v>
      </c>
      <c r="E67" s="326"/>
      <c r="F67" s="62"/>
      <c r="G67" s="326"/>
      <c r="H67" s="62"/>
      <c r="I67" s="326"/>
      <c r="J67" s="62"/>
      <c r="K67" s="326"/>
      <c r="L67" s="62"/>
      <c r="M67" s="326"/>
      <c r="N67" s="62"/>
      <c r="O67" s="18"/>
      <c r="P67" s="62"/>
      <c r="Q67" s="245"/>
    </row>
    <row r="68" spans="1:17" s="29" customFormat="1" ht="12.75">
      <c r="A68" s="7" t="s">
        <v>32</v>
      </c>
      <c r="B68" s="508"/>
      <c r="C68" s="484">
        <f>Oct20!O68</f>
        <v>0</v>
      </c>
      <c r="D68" s="22">
        <f>Oct20!P68</f>
        <v>0</v>
      </c>
      <c r="E68" s="326"/>
      <c r="F68" s="62"/>
      <c r="G68" s="326"/>
      <c r="H68" s="62"/>
      <c r="I68" s="326"/>
      <c r="J68" s="62"/>
      <c r="K68" s="326"/>
      <c r="L68" s="62"/>
      <c r="M68" s="326"/>
      <c r="N68" s="62"/>
      <c r="O68" s="18"/>
      <c r="P68" s="62"/>
      <c r="Q68" s="245"/>
    </row>
    <row r="69" spans="1:17" s="29" customFormat="1" ht="12.75">
      <c r="A69" s="49" t="s">
        <v>18</v>
      </c>
      <c r="B69" s="506" t="s">
        <v>140</v>
      </c>
      <c r="C69" s="484">
        <f>Oct20!O69</f>
        <v>0</v>
      </c>
      <c r="D69" s="22">
        <f>Oct20!P69</f>
        <v>93682852.88</v>
      </c>
      <c r="E69" s="326"/>
      <c r="F69" s="62"/>
      <c r="G69" s="326"/>
      <c r="H69" s="62"/>
      <c r="I69" s="326"/>
      <c r="J69" s="62"/>
      <c r="K69" s="326"/>
      <c r="L69" s="62"/>
      <c r="M69" s="326"/>
      <c r="N69" s="62"/>
      <c r="O69" s="18"/>
      <c r="P69" s="122">
        <f>D69+F69+J69+N69+H69-E69-G69-I69-M69+L69-K69</f>
        <v>93682852.88</v>
      </c>
      <c r="Q69" s="245"/>
    </row>
    <row r="70" spans="1:17" s="29" customFormat="1" ht="12.75">
      <c r="A70" s="49" t="s">
        <v>142</v>
      </c>
      <c r="B70" s="508" t="s">
        <v>141</v>
      </c>
      <c r="C70" s="484">
        <f>Oct20!O70</f>
        <v>0</v>
      </c>
      <c r="D70" s="22">
        <f>Oct20!P70</f>
        <v>121938867.88999999</v>
      </c>
      <c r="E70" s="326"/>
      <c r="F70" s="62"/>
      <c r="G70" s="326"/>
      <c r="H70" s="62"/>
      <c r="I70" s="326"/>
      <c r="J70" s="62"/>
      <c r="K70" s="326"/>
      <c r="L70" s="62"/>
      <c r="M70" s="326"/>
      <c r="N70" s="62">
        <v>330084.43</v>
      </c>
      <c r="O70" s="18"/>
      <c r="P70" s="122">
        <f>D70+F70+J70+N70+H70-E70-G70-I70-M70+L70-K70</f>
        <v>122268952.32</v>
      </c>
      <c r="Q70" s="245"/>
    </row>
    <row r="71" spans="1:17" s="29" customFormat="1" ht="12.75">
      <c r="A71" s="49" t="s">
        <v>673</v>
      </c>
      <c r="B71" s="249" t="s">
        <v>745</v>
      </c>
      <c r="C71" s="484">
        <f>Oct20!O71</f>
        <v>0</v>
      </c>
      <c r="D71" s="22">
        <f>Oct20!P71</f>
        <v>79248264.97</v>
      </c>
      <c r="E71" s="326"/>
      <c r="F71" s="62"/>
      <c r="G71" s="326"/>
      <c r="H71" s="62"/>
      <c r="I71" s="326"/>
      <c r="J71" s="62"/>
      <c r="K71" s="326"/>
      <c r="L71" s="62"/>
      <c r="M71" s="326"/>
      <c r="N71" s="62">
        <f>42549.47+4102505.8</f>
        <v>4145055.27</v>
      </c>
      <c r="O71" s="18"/>
      <c r="P71" s="122">
        <f>D71+F71+J71+N71+H71-E71-G71-I71-M71+L71-K71</f>
        <v>83393320.24</v>
      </c>
      <c r="Q71" s="532"/>
    </row>
    <row r="72" spans="1:17" s="29" customFormat="1" ht="12.75">
      <c r="A72" s="49"/>
      <c r="B72" s="508"/>
      <c r="C72" s="484">
        <f>Oct20!O72</f>
        <v>0</v>
      </c>
      <c r="D72" s="22">
        <f>Oct20!P72</f>
        <v>0</v>
      </c>
      <c r="E72" s="326"/>
      <c r="F72" s="62"/>
      <c r="G72" s="326"/>
      <c r="H72" s="62"/>
      <c r="I72" s="326"/>
      <c r="J72" s="62"/>
      <c r="K72" s="326"/>
      <c r="L72" s="62"/>
      <c r="M72" s="326"/>
      <c r="N72" s="62"/>
      <c r="O72" s="18"/>
      <c r="P72" s="62"/>
      <c r="Q72" s="245"/>
    </row>
    <row r="73" spans="1:17" s="29" customFormat="1" ht="12.75">
      <c r="A73" s="4" t="s">
        <v>19</v>
      </c>
      <c r="B73" s="509"/>
      <c r="C73" s="484">
        <f>Oct20!O73</f>
        <v>0</v>
      </c>
      <c r="D73" s="22">
        <f>Oct20!P73</f>
        <v>0</v>
      </c>
      <c r="E73" s="326"/>
      <c r="F73" s="62"/>
      <c r="G73" s="326"/>
      <c r="H73" s="62"/>
      <c r="I73" s="326"/>
      <c r="J73" s="62"/>
      <c r="K73" s="326"/>
      <c r="L73" s="62"/>
      <c r="M73" s="326"/>
      <c r="N73" s="62"/>
      <c r="O73" s="18"/>
      <c r="P73" s="62"/>
      <c r="Q73" s="245"/>
    </row>
    <row r="74" spans="1:17" s="29" customFormat="1" ht="12.75">
      <c r="A74" s="23" t="s">
        <v>143</v>
      </c>
      <c r="B74" s="250" t="s">
        <v>144</v>
      </c>
      <c r="C74" s="484">
        <f>Oct20!O74</f>
        <v>12134251.929999998</v>
      </c>
      <c r="D74" s="22">
        <f>Oct20!P74</f>
        <v>0</v>
      </c>
      <c r="E74" s="326">
        <v>1175720.03</v>
      </c>
      <c r="F74" s="62"/>
      <c r="G74" s="326"/>
      <c r="H74" s="62"/>
      <c r="I74" s="326"/>
      <c r="J74" s="62"/>
      <c r="K74" s="326"/>
      <c r="L74" s="62"/>
      <c r="M74" s="326"/>
      <c r="N74" s="62"/>
      <c r="O74" s="18">
        <f t="shared" si="0"/>
        <v>13309971.959999997</v>
      </c>
      <c r="P74" s="62"/>
      <c r="Q74" s="245"/>
    </row>
    <row r="75" spans="1:17" s="29" customFormat="1" ht="13.5" customHeight="1">
      <c r="A75" s="23" t="s">
        <v>20</v>
      </c>
      <c r="B75" s="250" t="s">
        <v>145</v>
      </c>
      <c r="C75" s="484">
        <f>Oct20!O75</f>
        <v>425000</v>
      </c>
      <c r="D75" s="22">
        <f>Oct20!P75</f>
        <v>0</v>
      </c>
      <c r="E75" s="326">
        <v>43000</v>
      </c>
      <c r="F75" s="62"/>
      <c r="G75" s="326"/>
      <c r="H75" s="62"/>
      <c r="I75" s="326"/>
      <c r="J75" s="62"/>
      <c r="K75" s="326"/>
      <c r="L75" s="62"/>
      <c r="M75" s="326"/>
      <c r="N75" s="62"/>
      <c r="O75" s="18">
        <f t="shared" si="0"/>
        <v>468000</v>
      </c>
      <c r="P75" s="62"/>
      <c r="Q75" s="245"/>
    </row>
    <row r="76" spans="1:17" s="29" customFormat="1" ht="12.75" customHeight="1">
      <c r="A76" s="23" t="s">
        <v>21</v>
      </c>
      <c r="B76" s="250" t="s">
        <v>146</v>
      </c>
      <c r="C76" s="484">
        <f>Oct20!O76</f>
        <v>190000</v>
      </c>
      <c r="D76" s="22">
        <f>Oct20!P76</f>
        <v>0</v>
      </c>
      <c r="E76" s="326">
        <v>19000</v>
      </c>
      <c r="F76" s="62"/>
      <c r="G76" s="326"/>
      <c r="H76" s="62"/>
      <c r="I76" s="326"/>
      <c r="J76" s="62"/>
      <c r="K76" s="326"/>
      <c r="L76" s="62"/>
      <c r="M76" s="326"/>
      <c r="N76" s="62"/>
      <c r="O76" s="18">
        <f t="shared" si="0"/>
        <v>209000</v>
      </c>
      <c r="P76" s="62"/>
      <c r="Q76" s="245"/>
    </row>
    <row r="77" spans="1:17" s="29" customFormat="1" ht="12.75" customHeight="1">
      <c r="A77" s="23" t="s">
        <v>22</v>
      </c>
      <c r="B77" s="250" t="s">
        <v>147</v>
      </c>
      <c r="C77" s="484">
        <f>Oct20!O77</f>
        <v>190000</v>
      </c>
      <c r="D77" s="22">
        <f>Oct20!P77</f>
        <v>0</v>
      </c>
      <c r="E77" s="326">
        <v>19000</v>
      </c>
      <c r="F77" s="62"/>
      <c r="G77" s="326"/>
      <c r="H77" s="62"/>
      <c r="I77" s="326"/>
      <c r="J77" s="62"/>
      <c r="K77" s="326"/>
      <c r="L77" s="62"/>
      <c r="M77" s="326"/>
      <c r="N77" s="62"/>
      <c r="O77" s="18">
        <f t="shared" si="0"/>
        <v>209000</v>
      </c>
      <c r="P77" s="62"/>
      <c r="Q77" s="246"/>
    </row>
    <row r="78" spans="1:17" s="29" customFormat="1" ht="12.75" customHeight="1">
      <c r="A78" s="23" t="s">
        <v>67</v>
      </c>
      <c r="B78" s="250" t="s">
        <v>527</v>
      </c>
      <c r="C78" s="484">
        <f>Oct20!O78</f>
        <v>408000</v>
      </c>
      <c r="D78" s="22">
        <f>Oct20!P78</f>
        <v>0</v>
      </c>
      <c r="E78" s="326"/>
      <c r="F78" s="62"/>
      <c r="G78" s="326"/>
      <c r="H78" s="62"/>
      <c r="I78" s="326"/>
      <c r="J78" s="62"/>
      <c r="K78" s="326"/>
      <c r="L78" s="62"/>
      <c r="M78" s="326"/>
      <c r="N78" s="62"/>
      <c r="O78" s="18">
        <f t="shared" si="0"/>
        <v>408000</v>
      </c>
      <c r="P78" s="62"/>
      <c r="Q78" s="245"/>
    </row>
    <row r="79" spans="1:17" s="29" customFormat="1" ht="12.75" customHeight="1">
      <c r="A79" s="23" t="s">
        <v>149</v>
      </c>
      <c r="B79" s="250" t="s">
        <v>148</v>
      </c>
      <c r="C79" s="484">
        <f>Oct20!O79</f>
        <v>0</v>
      </c>
      <c r="D79" s="22">
        <f>Oct20!P79</f>
        <v>0</v>
      </c>
      <c r="E79" s="326"/>
      <c r="F79" s="62"/>
      <c r="G79" s="326"/>
      <c r="H79" s="62"/>
      <c r="I79" s="326"/>
      <c r="J79" s="62"/>
      <c r="K79" s="326"/>
      <c r="L79" s="62"/>
      <c r="M79" s="326"/>
      <c r="N79" s="62"/>
      <c r="O79" s="18">
        <f t="shared" si="0"/>
        <v>0</v>
      </c>
      <c r="P79" s="62"/>
      <c r="Q79" s="245"/>
    </row>
    <row r="80" spans="1:17" s="29" customFormat="1" ht="12.75" customHeight="1">
      <c r="A80" s="23" t="s">
        <v>66</v>
      </c>
      <c r="B80" s="250" t="s">
        <v>150</v>
      </c>
      <c r="C80" s="484">
        <f>Oct20!O80</f>
        <v>0</v>
      </c>
      <c r="D80" s="22">
        <f>Oct20!P80</f>
        <v>0</v>
      </c>
      <c r="E80" s="326"/>
      <c r="F80" s="62"/>
      <c r="G80" s="326"/>
      <c r="H80" s="62"/>
      <c r="I80" s="326"/>
      <c r="J80" s="62"/>
      <c r="K80" s="326"/>
      <c r="L80" s="62"/>
      <c r="M80" s="326"/>
      <c r="N80" s="62"/>
      <c r="O80" s="18">
        <f t="shared" si="0"/>
        <v>0</v>
      </c>
      <c r="P80" s="62"/>
      <c r="Q80" s="245"/>
    </row>
    <row r="81" spans="1:17" s="29" customFormat="1" ht="12.75" customHeight="1">
      <c r="A81" s="23" t="s">
        <v>221</v>
      </c>
      <c r="B81" s="250" t="s">
        <v>537</v>
      </c>
      <c r="C81" s="484">
        <f>Oct20!O81</f>
        <v>0</v>
      </c>
      <c r="D81" s="22">
        <f>Oct20!P81</f>
        <v>0</v>
      </c>
      <c r="E81" s="326"/>
      <c r="F81" s="62"/>
      <c r="G81" s="326"/>
      <c r="H81" s="62"/>
      <c r="I81" s="326"/>
      <c r="J81" s="62"/>
      <c r="K81" s="326"/>
      <c r="L81" s="62"/>
      <c r="M81" s="326"/>
      <c r="N81" s="62"/>
      <c r="O81" s="18">
        <f t="shared" si="0"/>
        <v>0</v>
      </c>
      <c r="P81" s="62"/>
      <c r="Q81" s="245"/>
    </row>
    <row r="82" spans="1:17" s="29" customFormat="1" ht="12.75" customHeight="1">
      <c r="A82" s="23" t="s">
        <v>76</v>
      </c>
      <c r="B82" s="250" t="s">
        <v>153</v>
      </c>
      <c r="C82" s="484">
        <f>Oct20!O82</f>
        <v>0</v>
      </c>
      <c r="D82" s="22">
        <f>Oct20!P82</f>
        <v>0</v>
      </c>
      <c r="E82" s="326">
        <v>1205242</v>
      </c>
      <c r="F82" s="62"/>
      <c r="G82" s="326"/>
      <c r="H82" s="62"/>
      <c r="I82" s="326"/>
      <c r="J82" s="62"/>
      <c r="K82" s="326"/>
      <c r="L82" s="62"/>
      <c r="M82" s="326"/>
      <c r="N82" s="62"/>
      <c r="O82" s="18">
        <f aca="true" t="shared" si="2" ref="O82:O145">C82+E82+I82+M82-D82-F82-J82-N82+G82-H82+K82-L82</f>
        <v>1205242</v>
      </c>
      <c r="P82" s="62"/>
      <c r="Q82" s="245"/>
    </row>
    <row r="83" spans="1:17" s="29" customFormat="1" ht="12.75" customHeight="1">
      <c r="A83" s="23" t="s">
        <v>242</v>
      </c>
      <c r="B83" s="250" t="s">
        <v>234</v>
      </c>
      <c r="C83" s="484">
        <f>Oct20!O83</f>
        <v>0</v>
      </c>
      <c r="D83" s="22">
        <f>Oct20!P83</f>
        <v>0</v>
      </c>
      <c r="E83" s="326"/>
      <c r="F83" s="62"/>
      <c r="G83" s="326"/>
      <c r="H83" s="62"/>
      <c r="I83" s="326"/>
      <c r="J83" s="62"/>
      <c r="K83" s="326"/>
      <c r="L83" s="62"/>
      <c r="M83" s="326"/>
      <c r="N83" s="62"/>
      <c r="O83" s="18">
        <f t="shared" si="2"/>
        <v>0</v>
      </c>
      <c r="P83" s="62"/>
      <c r="Q83" s="246"/>
    </row>
    <row r="84" spans="1:17" s="29" customFormat="1" ht="12.75">
      <c r="A84" s="23" t="s">
        <v>75</v>
      </c>
      <c r="B84" s="250" t="s">
        <v>152</v>
      </c>
      <c r="C84" s="484">
        <f>Oct20!O84</f>
        <v>0</v>
      </c>
      <c r="D84" s="22">
        <f>Oct20!P84</f>
        <v>0</v>
      </c>
      <c r="E84" s="326">
        <v>110000</v>
      </c>
      <c r="F84" s="62"/>
      <c r="G84" s="326"/>
      <c r="H84" s="62"/>
      <c r="I84" s="326"/>
      <c r="J84" s="62"/>
      <c r="K84" s="326"/>
      <c r="L84" s="62"/>
      <c r="M84" s="326"/>
      <c r="N84" s="62"/>
      <c r="O84" s="18">
        <f t="shared" si="2"/>
        <v>110000</v>
      </c>
      <c r="P84" s="62"/>
      <c r="Q84" s="245"/>
    </row>
    <row r="85" spans="1:17" s="29" customFormat="1" ht="12.75">
      <c r="A85" s="23" t="s">
        <v>70</v>
      </c>
      <c r="B85" s="250" t="s">
        <v>151</v>
      </c>
      <c r="C85" s="484">
        <f>Oct20!O85</f>
        <v>0</v>
      </c>
      <c r="D85" s="22">
        <f>Oct20!P85</f>
        <v>0</v>
      </c>
      <c r="E85" s="326"/>
      <c r="F85" s="62"/>
      <c r="G85" s="326"/>
      <c r="H85" s="62"/>
      <c r="I85" s="326"/>
      <c r="J85" s="62"/>
      <c r="K85" s="326"/>
      <c r="L85" s="62"/>
      <c r="M85" s="326"/>
      <c r="N85" s="62"/>
      <c r="O85" s="18">
        <f t="shared" si="2"/>
        <v>0</v>
      </c>
      <c r="P85" s="62"/>
      <c r="Q85" s="245"/>
    </row>
    <row r="86" spans="1:17" s="29" customFormat="1" ht="12.75" customHeight="1">
      <c r="A86" s="23" t="s">
        <v>562</v>
      </c>
      <c r="B86" s="250" t="s">
        <v>563</v>
      </c>
      <c r="C86" s="484">
        <f>Oct20!O86</f>
        <v>193000</v>
      </c>
      <c r="D86" s="22">
        <f>Oct20!P86</f>
        <v>0</v>
      </c>
      <c r="E86" s="326"/>
      <c r="F86" s="62"/>
      <c r="G86" s="326"/>
      <c r="H86" s="62"/>
      <c r="I86" s="326"/>
      <c r="J86" s="62"/>
      <c r="K86" s="326"/>
      <c r="L86" s="62"/>
      <c r="M86" s="326"/>
      <c r="N86" s="62"/>
      <c r="O86" s="18">
        <f t="shared" si="2"/>
        <v>193000</v>
      </c>
      <c r="P86" s="62"/>
      <c r="Q86" s="245"/>
    </row>
    <row r="87" spans="1:17" s="29" customFormat="1" ht="12.75">
      <c r="A87" s="23" t="s">
        <v>564</v>
      </c>
      <c r="B87" s="250" t="s">
        <v>565</v>
      </c>
      <c r="C87" s="484">
        <f>Oct20!O87</f>
        <v>0</v>
      </c>
      <c r="D87" s="22">
        <f>Oct20!P87</f>
        <v>0</v>
      </c>
      <c r="E87" s="326"/>
      <c r="F87" s="62"/>
      <c r="G87" s="326"/>
      <c r="H87" s="62"/>
      <c r="I87" s="326"/>
      <c r="J87" s="62"/>
      <c r="K87" s="326"/>
      <c r="L87" s="62"/>
      <c r="M87" s="326"/>
      <c r="N87" s="62"/>
      <c r="O87" s="18">
        <f t="shared" si="2"/>
        <v>0</v>
      </c>
      <c r="P87" s="62"/>
      <c r="Q87" s="245"/>
    </row>
    <row r="88" spans="1:17" s="29" customFormat="1" ht="12.75">
      <c r="A88" s="23" t="s">
        <v>553</v>
      </c>
      <c r="B88" s="250" t="s">
        <v>554</v>
      </c>
      <c r="C88" s="484">
        <f>Oct20!O88</f>
        <v>0</v>
      </c>
      <c r="D88" s="22">
        <f>Oct20!P88</f>
        <v>0</v>
      </c>
      <c r="E88" s="326"/>
      <c r="F88" s="62"/>
      <c r="G88" s="326"/>
      <c r="H88" s="62"/>
      <c r="I88" s="326"/>
      <c r="J88" s="62"/>
      <c r="K88" s="326"/>
      <c r="L88" s="62"/>
      <c r="M88" s="326"/>
      <c r="N88" s="62"/>
      <c r="O88" s="18">
        <f t="shared" si="2"/>
        <v>0</v>
      </c>
      <c r="P88" s="62"/>
      <c r="Q88" s="245"/>
    </row>
    <row r="89" spans="1:17" s="29" customFormat="1" ht="13.5" customHeight="1">
      <c r="A89" s="23" t="s">
        <v>33</v>
      </c>
      <c r="B89" s="250" t="s">
        <v>154</v>
      </c>
      <c r="C89" s="484">
        <f>Oct20!O89</f>
        <v>274097.64</v>
      </c>
      <c r="D89" s="22">
        <f>Oct20!P89</f>
        <v>0</v>
      </c>
      <c r="E89" s="326"/>
      <c r="F89" s="62"/>
      <c r="G89" s="326"/>
      <c r="H89" s="62"/>
      <c r="I89" s="326"/>
      <c r="J89" s="62"/>
      <c r="K89" s="326"/>
      <c r="L89" s="62"/>
      <c r="M89" s="326"/>
      <c r="N89" s="62"/>
      <c r="O89" s="18">
        <f t="shared" si="2"/>
        <v>274097.64</v>
      </c>
      <c r="P89" s="62"/>
      <c r="Q89" s="245"/>
    </row>
    <row r="90" spans="1:17" s="29" customFormat="1" ht="12.75">
      <c r="A90" s="23" t="s">
        <v>34</v>
      </c>
      <c r="B90" s="250" t="s">
        <v>155</v>
      </c>
      <c r="C90" s="484">
        <f>Oct20!O90</f>
        <v>31146.8</v>
      </c>
      <c r="D90" s="22">
        <f>Oct20!P90</f>
        <v>0</v>
      </c>
      <c r="E90" s="326"/>
      <c r="F90" s="62"/>
      <c r="G90" s="326"/>
      <c r="H90" s="62"/>
      <c r="I90" s="326"/>
      <c r="J90" s="62"/>
      <c r="K90" s="326"/>
      <c r="L90" s="62"/>
      <c r="M90" s="326"/>
      <c r="N90" s="62"/>
      <c r="O90" s="18">
        <f t="shared" si="2"/>
        <v>31146.8</v>
      </c>
      <c r="P90" s="62"/>
      <c r="Q90" s="245"/>
    </row>
    <row r="91" spans="1:17" s="29" customFormat="1" ht="12.75">
      <c r="A91" s="23" t="s">
        <v>35</v>
      </c>
      <c r="B91" s="250" t="s">
        <v>156</v>
      </c>
      <c r="C91" s="484">
        <f>Oct20!O91</f>
        <v>143024.59</v>
      </c>
      <c r="D91" s="22">
        <f>Oct20!P91</f>
        <v>0</v>
      </c>
      <c r="E91" s="326"/>
      <c r="F91" s="62"/>
      <c r="G91" s="326"/>
      <c r="H91" s="62"/>
      <c r="I91" s="326"/>
      <c r="J91" s="62"/>
      <c r="K91" s="326"/>
      <c r="L91" s="62"/>
      <c r="M91" s="326"/>
      <c r="N91" s="62"/>
      <c r="O91" s="18">
        <f t="shared" si="2"/>
        <v>143024.59</v>
      </c>
      <c r="P91" s="62"/>
      <c r="Q91" s="245"/>
    </row>
    <row r="92" spans="1:17" s="29" customFormat="1" ht="12.75">
      <c r="A92" s="23" t="s">
        <v>36</v>
      </c>
      <c r="B92" s="250" t="s">
        <v>157</v>
      </c>
      <c r="C92" s="484">
        <f>Oct20!O92</f>
        <v>18200</v>
      </c>
      <c r="D92" s="22">
        <f>Oct20!P92</f>
        <v>0</v>
      </c>
      <c r="E92" s="326">
        <v>2100</v>
      </c>
      <c r="F92" s="62"/>
      <c r="G92" s="326"/>
      <c r="H92" s="62"/>
      <c r="I92" s="326"/>
      <c r="J92" s="62"/>
      <c r="K92" s="326"/>
      <c r="L92" s="62"/>
      <c r="M92" s="326"/>
      <c r="N92" s="62"/>
      <c r="O92" s="18">
        <f t="shared" si="2"/>
        <v>20300</v>
      </c>
      <c r="P92" s="62"/>
      <c r="Q92" s="246"/>
    </row>
    <row r="93" spans="1:17" s="29" customFormat="1" ht="12.75">
      <c r="A93" s="23" t="s">
        <v>698</v>
      </c>
      <c r="B93" s="250" t="s">
        <v>699</v>
      </c>
      <c r="C93" s="484">
        <f>Oct20!O93</f>
        <v>0</v>
      </c>
      <c r="D93" s="22">
        <f>Oct20!P93</f>
        <v>0</v>
      </c>
      <c r="E93" s="326"/>
      <c r="F93" s="62"/>
      <c r="G93" s="326"/>
      <c r="H93" s="62"/>
      <c r="I93" s="326"/>
      <c r="J93" s="62"/>
      <c r="K93" s="326"/>
      <c r="L93" s="62"/>
      <c r="M93" s="326"/>
      <c r="N93" s="62"/>
      <c r="O93" s="18">
        <f t="shared" si="2"/>
        <v>0</v>
      </c>
      <c r="P93" s="62"/>
      <c r="Q93" s="245"/>
    </row>
    <row r="94" spans="1:17" s="29" customFormat="1" ht="12.75">
      <c r="A94" s="23" t="s">
        <v>208</v>
      </c>
      <c r="B94" s="250" t="s">
        <v>207</v>
      </c>
      <c r="C94" s="484">
        <f>Oct20!O94</f>
        <v>1471033.81</v>
      </c>
      <c r="D94" s="22">
        <f>Oct20!P94</f>
        <v>0</v>
      </c>
      <c r="E94" s="326"/>
      <c r="F94" s="62"/>
      <c r="G94" s="326"/>
      <c r="H94" s="62"/>
      <c r="I94" s="326"/>
      <c r="J94" s="62"/>
      <c r="K94" s="326"/>
      <c r="L94" s="62"/>
      <c r="M94" s="326"/>
      <c r="N94" s="62"/>
      <c r="O94" s="18">
        <f t="shared" si="2"/>
        <v>1471033.81</v>
      </c>
      <c r="P94" s="62"/>
      <c r="Q94" s="245"/>
    </row>
    <row r="95" spans="1:17" s="29" customFormat="1" ht="12.75">
      <c r="A95" s="23" t="s">
        <v>719</v>
      </c>
      <c r="B95" s="250" t="s">
        <v>720</v>
      </c>
      <c r="C95" s="484">
        <f>Oct20!O95</f>
        <v>1047856.5</v>
      </c>
      <c r="D95" s="22">
        <f>Oct20!P95</f>
        <v>0</v>
      </c>
      <c r="E95" s="326"/>
      <c r="F95" s="62"/>
      <c r="G95" s="326"/>
      <c r="H95" s="62"/>
      <c r="I95" s="326"/>
      <c r="J95" s="62"/>
      <c r="K95" s="326"/>
      <c r="L95" s="62"/>
      <c r="M95" s="326"/>
      <c r="N95" s="62"/>
      <c r="O95" s="18">
        <f t="shared" si="2"/>
        <v>1047856.5</v>
      </c>
      <c r="P95" s="62"/>
      <c r="Q95" s="246"/>
    </row>
    <row r="96" spans="1:17" s="29" customFormat="1" ht="12.75">
      <c r="A96" s="23" t="s">
        <v>28</v>
      </c>
      <c r="B96" s="250" t="s">
        <v>158</v>
      </c>
      <c r="C96" s="484">
        <f>Oct20!O96</f>
        <v>586956.88</v>
      </c>
      <c r="D96" s="22">
        <f>Oct20!P96</f>
        <v>0</v>
      </c>
      <c r="E96" s="326">
        <v>19156.8</v>
      </c>
      <c r="F96" s="62"/>
      <c r="G96" s="326"/>
      <c r="H96" s="62"/>
      <c r="I96" s="326"/>
      <c r="J96" s="62"/>
      <c r="K96" s="326"/>
      <c r="L96" s="62"/>
      <c r="M96" s="326"/>
      <c r="N96" s="62"/>
      <c r="O96" s="18">
        <f t="shared" si="2"/>
        <v>606113.68</v>
      </c>
      <c r="P96" s="62"/>
      <c r="Q96" s="245"/>
    </row>
    <row r="97" spans="1:17" s="29" customFormat="1" ht="12.75">
      <c r="A97" s="23" t="s">
        <v>243</v>
      </c>
      <c r="B97" s="250" t="s">
        <v>236</v>
      </c>
      <c r="C97" s="484">
        <f>Oct20!O97</f>
        <v>0</v>
      </c>
      <c r="D97" s="22">
        <f>Oct20!P97</f>
        <v>0</v>
      </c>
      <c r="E97" s="326"/>
      <c r="F97" s="62"/>
      <c r="G97" s="326"/>
      <c r="H97" s="62"/>
      <c r="I97" s="326"/>
      <c r="J97" s="62"/>
      <c r="K97" s="326"/>
      <c r="L97" s="62"/>
      <c r="M97" s="326"/>
      <c r="N97" s="62"/>
      <c r="O97" s="18">
        <f t="shared" si="2"/>
        <v>0</v>
      </c>
      <c r="P97" s="62"/>
      <c r="Q97" s="245"/>
    </row>
    <row r="98" spans="1:17" s="29" customFormat="1" ht="12.75">
      <c r="A98" s="23" t="s">
        <v>27</v>
      </c>
      <c r="B98" s="250" t="s">
        <v>159</v>
      </c>
      <c r="C98" s="484">
        <f>Oct20!O98</f>
        <v>3353311.25</v>
      </c>
      <c r="D98" s="22">
        <f>Oct20!P98</f>
        <v>0</v>
      </c>
      <c r="E98" s="326"/>
      <c r="F98" s="62"/>
      <c r="G98" s="326"/>
      <c r="H98" s="62"/>
      <c r="I98" s="326"/>
      <c r="J98" s="62"/>
      <c r="K98" s="326"/>
      <c r="L98" s="62"/>
      <c r="M98" s="326"/>
      <c r="N98" s="62"/>
      <c r="O98" s="18">
        <f t="shared" si="2"/>
        <v>3353311.25</v>
      </c>
      <c r="P98" s="62"/>
      <c r="Q98" s="245"/>
    </row>
    <row r="99" spans="1:17" s="29" customFormat="1" ht="12.75">
      <c r="A99" s="23" t="s">
        <v>160</v>
      </c>
      <c r="B99" s="250" t="s">
        <v>161</v>
      </c>
      <c r="C99" s="484">
        <f>Oct20!O99</f>
        <v>0</v>
      </c>
      <c r="D99" s="22">
        <f>Oct20!P99</f>
        <v>0</v>
      </c>
      <c r="E99" s="326"/>
      <c r="F99" s="62"/>
      <c r="G99" s="326"/>
      <c r="H99" s="62"/>
      <c r="I99" s="326"/>
      <c r="J99" s="62"/>
      <c r="K99" s="326"/>
      <c r="L99" s="62"/>
      <c r="M99" s="326"/>
      <c r="N99" s="62"/>
      <c r="O99" s="18">
        <f t="shared" si="2"/>
        <v>0</v>
      </c>
      <c r="P99" s="62"/>
      <c r="Q99" s="245"/>
    </row>
    <row r="100" spans="1:17" s="29" customFormat="1" ht="12.75">
      <c r="A100" s="23" t="s">
        <v>216</v>
      </c>
      <c r="B100" s="250" t="s">
        <v>162</v>
      </c>
      <c r="C100" s="484">
        <f>Oct20!O100</f>
        <v>12076.5</v>
      </c>
      <c r="D100" s="22">
        <f>Oct20!P100</f>
        <v>0</v>
      </c>
      <c r="E100" s="326">
        <v>998</v>
      </c>
      <c r="F100" s="62"/>
      <c r="G100" s="326"/>
      <c r="H100" s="62"/>
      <c r="I100" s="326"/>
      <c r="J100" s="62"/>
      <c r="K100" s="326"/>
      <c r="L100" s="62"/>
      <c r="M100" s="326"/>
      <c r="N100" s="62"/>
      <c r="O100" s="18">
        <f t="shared" si="2"/>
        <v>13074.5</v>
      </c>
      <c r="P100" s="62"/>
      <c r="Q100" s="245"/>
    </row>
    <row r="101" spans="1:17" s="29" customFormat="1" ht="12.75" hidden="1">
      <c r="A101" s="23" t="s">
        <v>56</v>
      </c>
      <c r="B101" s="250" t="s">
        <v>163</v>
      </c>
      <c r="C101" s="484">
        <f>Oct20!O101</f>
        <v>0</v>
      </c>
      <c r="D101" s="22">
        <f>Oct20!P101</f>
        <v>0</v>
      </c>
      <c r="E101" s="326"/>
      <c r="F101" s="62"/>
      <c r="G101" s="326"/>
      <c r="H101" s="62"/>
      <c r="I101" s="326"/>
      <c r="J101" s="62"/>
      <c r="K101" s="326"/>
      <c r="L101" s="62"/>
      <c r="M101" s="326"/>
      <c r="N101" s="62"/>
      <c r="O101" s="18">
        <f t="shared" si="2"/>
        <v>0</v>
      </c>
      <c r="P101" s="62"/>
      <c r="Q101" s="245"/>
    </row>
    <row r="102" spans="1:17" s="29" customFormat="1" ht="12.75" hidden="1">
      <c r="A102" s="23" t="s">
        <v>217</v>
      </c>
      <c r="B102" s="250" t="s">
        <v>218</v>
      </c>
      <c r="C102" s="484">
        <f>Oct20!O102</f>
        <v>0</v>
      </c>
      <c r="D102" s="22">
        <f>Oct20!P102</f>
        <v>0</v>
      </c>
      <c r="E102" s="326"/>
      <c r="F102" s="62"/>
      <c r="G102" s="326"/>
      <c r="H102" s="62"/>
      <c r="I102" s="326"/>
      <c r="J102" s="62"/>
      <c r="K102" s="326"/>
      <c r="L102" s="62"/>
      <c r="M102" s="326"/>
      <c r="N102" s="62"/>
      <c r="O102" s="18">
        <f t="shared" si="2"/>
        <v>0</v>
      </c>
      <c r="P102" s="62"/>
      <c r="Q102" s="245"/>
    </row>
    <row r="103" spans="1:17" s="29" customFormat="1" ht="12.75">
      <c r="A103" s="23" t="s">
        <v>164</v>
      </c>
      <c r="B103" s="250" t="s">
        <v>165</v>
      </c>
      <c r="C103" s="484">
        <f>Oct20!O103</f>
        <v>84637.74</v>
      </c>
      <c r="D103" s="22">
        <f>Oct20!P103</f>
        <v>0</v>
      </c>
      <c r="E103" s="326">
        <v>7960.3</v>
      </c>
      <c r="F103" s="62"/>
      <c r="G103" s="326"/>
      <c r="H103" s="62"/>
      <c r="I103" s="326"/>
      <c r="J103" s="62"/>
      <c r="K103" s="326"/>
      <c r="L103" s="62"/>
      <c r="M103" s="326"/>
      <c r="N103" s="62"/>
      <c r="O103" s="18">
        <f t="shared" si="2"/>
        <v>92598.04000000001</v>
      </c>
      <c r="P103" s="62"/>
      <c r="Q103" s="245"/>
    </row>
    <row r="104" spans="1:17" s="29" customFormat="1" ht="12.75">
      <c r="A104" s="23" t="s">
        <v>570</v>
      </c>
      <c r="B104" s="250" t="s">
        <v>556</v>
      </c>
      <c r="C104" s="484">
        <f>Oct20!O104</f>
        <v>0</v>
      </c>
      <c r="D104" s="22">
        <f>Oct20!P104</f>
        <v>0</v>
      </c>
      <c r="E104" s="326"/>
      <c r="F104" s="62"/>
      <c r="G104" s="326"/>
      <c r="H104" s="62"/>
      <c r="I104" s="326"/>
      <c r="J104" s="62"/>
      <c r="K104" s="326"/>
      <c r="L104" s="62"/>
      <c r="M104" s="326"/>
      <c r="N104" s="62"/>
      <c r="O104" s="18">
        <f t="shared" si="2"/>
        <v>0</v>
      </c>
      <c r="P104" s="62"/>
      <c r="Q104" s="245"/>
    </row>
    <row r="105" spans="1:17" s="29" customFormat="1" ht="12.75">
      <c r="A105" s="23" t="s">
        <v>535</v>
      </c>
      <c r="B105" s="250" t="s">
        <v>521</v>
      </c>
      <c r="C105" s="484">
        <f>Oct20!O105</f>
        <v>0</v>
      </c>
      <c r="D105" s="22">
        <f>Oct20!P105</f>
        <v>0</v>
      </c>
      <c r="E105" s="326"/>
      <c r="F105" s="62"/>
      <c r="G105" s="326"/>
      <c r="H105" s="62"/>
      <c r="I105" s="326"/>
      <c r="J105" s="62"/>
      <c r="K105" s="326"/>
      <c r="L105" s="62"/>
      <c r="M105" s="326"/>
      <c r="N105" s="62"/>
      <c r="O105" s="18">
        <f t="shared" si="2"/>
        <v>0</v>
      </c>
      <c r="P105" s="62"/>
      <c r="Q105" s="245"/>
    </row>
    <row r="106" spans="1:17" s="29" customFormat="1" ht="12.75">
      <c r="A106" s="23" t="s">
        <v>536</v>
      </c>
      <c r="B106" s="250" t="s">
        <v>522</v>
      </c>
      <c r="C106" s="484">
        <f>Oct20!O106</f>
        <v>0</v>
      </c>
      <c r="D106" s="22">
        <f>Oct20!P106</f>
        <v>0</v>
      </c>
      <c r="E106" s="326"/>
      <c r="F106" s="62"/>
      <c r="G106" s="326"/>
      <c r="H106" s="62"/>
      <c r="I106" s="326"/>
      <c r="J106" s="62"/>
      <c r="K106" s="326"/>
      <c r="L106" s="62"/>
      <c r="M106" s="326"/>
      <c r="N106" s="62"/>
      <c r="O106" s="18">
        <f t="shared" si="2"/>
        <v>0</v>
      </c>
      <c r="P106" s="62"/>
      <c r="Q106" s="245"/>
    </row>
    <row r="107" spans="1:17" s="29" customFormat="1" ht="12.75" hidden="1">
      <c r="A107" s="23" t="s">
        <v>571</v>
      </c>
      <c r="B107" s="250" t="s">
        <v>572</v>
      </c>
      <c r="C107" s="484">
        <f>Oct20!O107</f>
        <v>0</v>
      </c>
      <c r="D107" s="22">
        <f>Oct20!P107</f>
        <v>0</v>
      </c>
      <c r="E107" s="326"/>
      <c r="F107" s="62"/>
      <c r="G107" s="326"/>
      <c r="H107" s="62"/>
      <c r="I107" s="326"/>
      <c r="J107" s="62"/>
      <c r="K107" s="326"/>
      <c r="L107" s="62"/>
      <c r="M107" s="326"/>
      <c r="N107" s="62"/>
      <c r="O107" s="18">
        <f t="shared" si="2"/>
        <v>0</v>
      </c>
      <c r="P107" s="62"/>
      <c r="Q107" s="245"/>
    </row>
    <row r="108" spans="1:17" s="29" customFormat="1" ht="12.75" hidden="1">
      <c r="A108" s="23" t="s">
        <v>573</v>
      </c>
      <c r="B108" s="250" t="s">
        <v>557</v>
      </c>
      <c r="C108" s="484">
        <f>Oct20!O108</f>
        <v>0</v>
      </c>
      <c r="D108" s="22">
        <f>Oct20!P108</f>
        <v>0</v>
      </c>
      <c r="E108" s="326"/>
      <c r="F108" s="62"/>
      <c r="G108" s="326"/>
      <c r="H108" s="62"/>
      <c r="I108" s="326"/>
      <c r="J108" s="62"/>
      <c r="K108" s="326"/>
      <c r="L108" s="62"/>
      <c r="M108" s="326"/>
      <c r="N108" s="62"/>
      <c r="O108" s="18">
        <f t="shared" si="2"/>
        <v>0</v>
      </c>
      <c r="P108" s="62"/>
      <c r="Q108" s="245"/>
    </row>
    <row r="109" spans="1:17" s="29" customFormat="1" ht="12.75" hidden="1">
      <c r="A109" s="23" t="s">
        <v>241</v>
      </c>
      <c r="B109" s="250" t="s">
        <v>235</v>
      </c>
      <c r="C109" s="484">
        <f>Oct20!O109</f>
        <v>0</v>
      </c>
      <c r="D109" s="22">
        <f>Oct20!P109</f>
        <v>0</v>
      </c>
      <c r="E109" s="326"/>
      <c r="F109" s="62"/>
      <c r="G109" s="326"/>
      <c r="H109" s="62"/>
      <c r="I109" s="326"/>
      <c r="J109" s="62"/>
      <c r="K109" s="326"/>
      <c r="L109" s="62"/>
      <c r="M109" s="326"/>
      <c r="N109" s="62"/>
      <c r="O109" s="18">
        <f t="shared" si="2"/>
        <v>0</v>
      </c>
      <c r="P109" s="62"/>
      <c r="Q109" s="245"/>
    </row>
    <row r="110" spans="1:17" s="29" customFormat="1" ht="12.75">
      <c r="A110" s="23" t="s">
        <v>166</v>
      </c>
      <c r="B110" s="250" t="s">
        <v>167</v>
      </c>
      <c r="C110" s="484">
        <f>Oct20!O110</f>
        <v>2328.25</v>
      </c>
      <c r="D110" s="22">
        <f>Oct20!P110</f>
        <v>0</v>
      </c>
      <c r="E110" s="326"/>
      <c r="F110" s="62"/>
      <c r="G110" s="326"/>
      <c r="H110" s="62"/>
      <c r="I110" s="326"/>
      <c r="J110" s="62"/>
      <c r="K110" s="326"/>
      <c r="L110" s="62"/>
      <c r="M110" s="326"/>
      <c r="N110" s="62"/>
      <c r="O110" s="18">
        <f t="shared" si="2"/>
        <v>2328.25</v>
      </c>
      <c r="P110" s="62"/>
      <c r="Q110" s="245"/>
    </row>
    <row r="111" spans="1:17" s="29" customFormat="1" ht="12.75">
      <c r="A111" s="23" t="s">
        <v>37</v>
      </c>
      <c r="B111" s="250" t="s">
        <v>168</v>
      </c>
      <c r="C111" s="484">
        <f>Oct20!O111</f>
        <v>25745.6</v>
      </c>
      <c r="D111" s="22">
        <f>Oct20!P111</f>
        <v>0</v>
      </c>
      <c r="E111" s="326">
        <v>1627</v>
      </c>
      <c r="F111" s="62"/>
      <c r="G111" s="326"/>
      <c r="H111" s="62"/>
      <c r="I111" s="326"/>
      <c r="J111" s="62"/>
      <c r="K111" s="326"/>
      <c r="L111" s="62"/>
      <c r="M111" s="326"/>
      <c r="N111" s="62"/>
      <c r="O111" s="18">
        <f t="shared" si="2"/>
        <v>27372.6</v>
      </c>
      <c r="P111" s="62"/>
      <c r="Q111" s="245"/>
    </row>
    <row r="112" spans="1:17" s="29" customFormat="1" ht="12.75">
      <c r="A112" s="23" t="s">
        <v>43</v>
      </c>
      <c r="B112" s="250" t="s">
        <v>169</v>
      </c>
      <c r="C112" s="484">
        <f>Oct20!O112</f>
        <v>165347.66999999998</v>
      </c>
      <c r="D112" s="22">
        <f>Oct20!P112</f>
        <v>0</v>
      </c>
      <c r="E112" s="326">
        <v>11126.63</v>
      </c>
      <c r="F112" s="62"/>
      <c r="G112" s="326"/>
      <c r="H112" s="62"/>
      <c r="I112" s="326"/>
      <c r="J112" s="62"/>
      <c r="K112" s="326"/>
      <c r="L112" s="62"/>
      <c r="M112" s="326"/>
      <c r="N112" s="62"/>
      <c r="O112" s="18">
        <f t="shared" si="2"/>
        <v>176474.3</v>
      </c>
      <c r="P112" s="62"/>
      <c r="Q112" s="245"/>
    </row>
    <row r="113" spans="1:17" s="29" customFormat="1" ht="12.75">
      <c r="A113" s="23" t="s">
        <v>694</v>
      </c>
      <c r="B113" s="250" t="s">
        <v>695</v>
      </c>
      <c r="C113" s="484">
        <f>Oct20!O113</f>
        <v>0</v>
      </c>
      <c r="D113" s="22">
        <f>Oct20!P113</f>
        <v>0</v>
      </c>
      <c r="E113" s="326"/>
      <c r="F113" s="62"/>
      <c r="G113" s="326"/>
      <c r="H113" s="62"/>
      <c r="I113" s="326"/>
      <c r="J113" s="62"/>
      <c r="K113" s="326"/>
      <c r="L113" s="62"/>
      <c r="M113" s="326"/>
      <c r="N113" s="62"/>
      <c r="O113" s="18">
        <f t="shared" si="2"/>
        <v>0</v>
      </c>
      <c r="P113" s="62"/>
      <c r="Q113" s="245"/>
    </row>
    <row r="114" spans="1:17" s="29" customFormat="1" ht="12.75">
      <c r="A114" s="23" t="s">
        <v>29</v>
      </c>
      <c r="B114" s="250" t="s">
        <v>170</v>
      </c>
      <c r="C114" s="484">
        <f>Oct20!O114</f>
        <v>58095.8</v>
      </c>
      <c r="D114" s="22">
        <f>Oct20!P114</f>
        <v>0</v>
      </c>
      <c r="E114" s="326">
        <v>2695</v>
      </c>
      <c r="F114" s="62"/>
      <c r="G114" s="326"/>
      <c r="H114" s="62"/>
      <c r="I114" s="326"/>
      <c r="J114" s="62"/>
      <c r="K114" s="326"/>
      <c r="L114" s="62"/>
      <c r="M114" s="326"/>
      <c r="N114" s="62"/>
      <c r="O114" s="18">
        <f t="shared" si="2"/>
        <v>60790.8</v>
      </c>
      <c r="P114" s="62"/>
      <c r="Q114" s="245"/>
    </row>
    <row r="115" spans="1:17" s="29" customFormat="1" ht="12.75">
      <c r="A115" s="23" t="s">
        <v>194</v>
      </c>
      <c r="B115" s="250" t="s">
        <v>196</v>
      </c>
      <c r="C115" s="484">
        <f>Oct20!O115</f>
        <v>79572.98000000001</v>
      </c>
      <c r="D115" s="22">
        <f>Oct20!P115</f>
        <v>0</v>
      </c>
      <c r="E115" s="326">
        <v>8000</v>
      </c>
      <c r="F115" s="62"/>
      <c r="G115" s="326"/>
      <c r="H115" s="62"/>
      <c r="I115" s="326"/>
      <c r="J115" s="62"/>
      <c r="K115" s="326"/>
      <c r="L115" s="62"/>
      <c r="M115" s="326"/>
      <c r="N115" s="62"/>
      <c r="O115" s="18">
        <f t="shared" si="2"/>
        <v>87572.98000000001</v>
      </c>
      <c r="P115" s="62"/>
      <c r="Q115" s="245"/>
    </row>
    <row r="116" spans="1:17" s="29" customFormat="1" ht="12.75">
      <c r="A116" s="23" t="s">
        <v>195</v>
      </c>
      <c r="B116" s="250" t="s">
        <v>197</v>
      </c>
      <c r="C116" s="484">
        <f>Oct20!O116</f>
        <v>15951.15</v>
      </c>
      <c r="D116" s="22">
        <f>Oct20!P116</f>
        <v>0</v>
      </c>
      <c r="E116" s="326"/>
      <c r="F116" s="62"/>
      <c r="G116" s="326"/>
      <c r="H116" s="62"/>
      <c r="I116" s="326"/>
      <c r="J116" s="62"/>
      <c r="K116" s="326"/>
      <c r="L116" s="62"/>
      <c r="M116" s="326"/>
      <c r="N116" s="62"/>
      <c r="O116" s="18">
        <f t="shared" si="2"/>
        <v>15951.15</v>
      </c>
      <c r="P116" s="62"/>
      <c r="Q116" s="245"/>
    </row>
    <row r="117" spans="1:17" s="29" customFormat="1" ht="12.75">
      <c r="A117" s="23" t="s">
        <v>171</v>
      </c>
      <c r="B117" s="250" t="s">
        <v>172</v>
      </c>
      <c r="C117" s="484">
        <f>Oct20!O117</f>
        <v>70545.39</v>
      </c>
      <c r="D117" s="22">
        <f>Oct20!P117</f>
        <v>0</v>
      </c>
      <c r="E117" s="326">
        <v>2600</v>
      </c>
      <c r="F117" s="62"/>
      <c r="G117" s="326"/>
      <c r="H117" s="62"/>
      <c r="I117" s="326"/>
      <c r="J117" s="62"/>
      <c r="K117" s="326"/>
      <c r="L117" s="62"/>
      <c r="M117" s="326"/>
      <c r="N117" s="62"/>
      <c r="O117" s="18">
        <f t="shared" si="2"/>
        <v>73145.39</v>
      </c>
      <c r="P117" s="62"/>
      <c r="Q117" s="245"/>
    </row>
    <row r="118" spans="1:17" s="29" customFormat="1" ht="12.75">
      <c r="A118" s="23" t="s">
        <v>51</v>
      </c>
      <c r="B118" s="250" t="s">
        <v>173</v>
      </c>
      <c r="C118" s="484">
        <f>Oct20!O118</f>
        <v>300</v>
      </c>
      <c r="D118" s="22">
        <f>Oct20!P118</f>
        <v>0</v>
      </c>
      <c r="E118" s="326"/>
      <c r="F118" s="62"/>
      <c r="G118" s="326"/>
      <c r="H118" s="62"/>
      <c r="I118" s="326"/>
      <c r="J118" s="62"/>
      <c r="K118" s="326"/>
      <c r="L118" s="62"/>
      <c r="M118" s="326"/>
      <c r="N118" s="62"/>
      <c r="O118" s="18">
        <f t="shared" si="2"/>
        <v>300</v>
      </c>
      <c r="P118" s="62"/>
      <c r="Q118" s="245"/>
    </row>
    <row r="119" spans="1:17" s="29" customFormat="1" ht="12.75">
      <c r="A119" s="23" t="s">
        <v>539</v>
      </c>
      <c r="B119" s="250" t="s">
        <v>538</v>
      </c>
      <c r="C119" s="484">
        <f>Oct20!O119</f>
        <v>0</v>
      </c>
      <c r="D119" s="22">
        <f>Oct20!P119</f>
        <v>0</v>
      </c>
      <c r="E119" s="326"/>
      <c r="F119" s="62"/>
      <c r="G119" s="326"/>
      <c r="H119" s="62"/>
      <c r="I119" s="326"/>
      <c r="J119" s="62"/>
      <c r="K119" s="326"/>
      <c r="L119" s="62"/>
      <c r="M119" s="326"/>
      <c r="N119" s="62"/>
      <c r="O119" s="18">
        <f t="shared" si="2"/>
        <v>0</v>
      </c>
      <c r="P119" s="62"/>
      <c r="Q119" s="245"/>
    </row>
    <row r="120" spans="1:17" s="29" customFormat="1" ht="12.75">
      <c r="A120" s="23" t="s">
        <v>193</v>
      </c>
      <c r="B120" s="250" t="s">
        <v>190</v>
      </c>
      <c r="C120" s="484">
        <f>Oct20!O120</f>
        <v>91666.7</v>
      </c>
      <c r="D120" s="22">
        <f>Oct20!P120</f>
        <v>0</v>
      </c>
      <c r="E120" s="326">
        <v>9166.67</v>
      </c>
      <c r="F120" s="62"/>
      <c r="G120" s="326"/>
      <c r="H120" s="62"/>
      <c r="I120" s="326"/>
      <c r="J120" s="62"/>
      <c r="K120" s="326"/>
      <c r="L120" s="62"/>
      <c r="M120" s="326"/>
      <c r="N120" s="62"/>
      <c r="O120" s="18">
        <f t="shared" si="2"/>
        <v>100833.37</v>
      </c>
      <c r="P120" s="62"/>
      <c r="Q120" s="245"/>
    </row>
    <row r="121" spans="1:17" s="29" customFormat="1" ht="12.75">
      <c r="A121" s="23" t="s">
        <v>71</v>
      </c>
      <c r="B121" s="250" t="s">
        <v>178</v>
      </c>
      <c r="C121" s="484">
        <f>Oct20!O121</f>
        <v>400</v>
      </c>
      <c r="D121" s="22">
        <f>Oct20!P121</f>
        <v>0</v>
      </c>
      <c r="E121" s="326"/>
      <c r="F121" s="62"/>
      <c r="G121" s="326"/>
      <c r="H121" s="62"/>
      <c r="I121" s="326"/>
      <c r="J121" s="62"/>
      <c r="K121" s="326"/>
      <c r="L121" s="62"/>
      <c r="M121" s="326"/>
      <c r="N121" s="62"/>
      <c r="O121" s="18">
        <f t="shared" si="2"/>
        <v>400</v>
      </c>
      <c r="P121" s="62"/>
      <c r="Q121" s="245"/>
    </row>
    <row r="122" spans="1:17" s="29" customFormat="1" ht="12.75" hidden="1">
      <c r="A122" s="23" t="s">
        <v>30</v>
      </c>
      <c r="B122" s="250" t="s">
        <v>179</v>
      </c>
      <c r="C122" s="484">
        <f>Oct20!O122</f>
        <v>0</v>
      </c>
      <c r="D122" s="22">
        <f>Oct20!P122</f>
        <v>0</v>
      </c>
      <c r="E122" s="326"/>
      <c r="F122" s="62"/>
      <c r="G122" s="326"/>
      <c r="H122" s="62"/>
      <c r="I122" s="326"/>
      <c r="J122" s="62"/>
      <c r="K122" s="326"/>
      <c r="L122" s="62"/>
      <c r="M122" s="326"/>
      <c r="N122" s="62"/>
      <c r="O122" s="18">
        <f t="shared" si="2"/>
        <v>0</v>
      </c>
      <c r="P122" s="62"/>
      <c r="Q122" s="245"/>
    </row>
    <row r="123" spans="1:17" s="29" customFormat="1" ht="12.75" hidden="1">
      <c r="A123" s="23" t="s">
        <v>198</v>
      </c>
      <c r="B123" s="250" t="s">
        <v>199</v>
      </c>
      <c r="C123" s="484">
        <f>Oct20!O123</f>
        <v>0</v>
      </c>
      <c r="D123" s="22">
        <f>Oct20!P123</f>
        <v>0</v>
      </c>
      <c r="E123" s="326"/>
      <c r="F123" s="62"/>
      <c r="G123" s="326"/>
      <c r="H123" s="62"/>
      <c r="I123" s="326"/>
      <c r="J123" s="62"/>
      <c r="K123" s="326"/>
      <c r="L123" s="62"/>
      <c r="M123" s="326"/>
      <c r="N123" s="62"/>
      <c r="O123" s="18">
        <f t="shared" si="2"/>
        <v>0</v>
      </c>
      <c r="P123" s="62"/>
      <c r="Q123" s="245"/>
    </row>
    <row r="124" spans="1:17" s="29" customFormat="1" ht="12.75">
      <c r="A124" s="23" t="s">
        <v>72</v>
      </c>
      <c r="B124" s="250" t="s">
        <v>182</v>
      </c>
      <c r="C124" s="484">
        <f>Oct20!O124</f>
        <v>560352.83</v>
      </c>
      <c r="D124" s="22">
        <f>Oct20!P124</f>
        <v>0</v>
      </c>
      <c r="E124" s="326">
        <v>35890.61</v>
      </c>
      <c r="F124" s="62"/>
      <c r="G124" s="326"/>
      <c r="H124" s="62"/>
      <c r="I124" s="326"/>
      <c r="J124" s="62"/>
      <c r="K124" s="326"/>
      <c r="L124" s="62"/>
      <c r="M124" s="326"/>
      <c r="N124" s="62"/>
      <c r="O124" s="18">
        <f t="shared" si="2"/>
        <v>596243.44</v>
      </c>
      <c r="P124" s="62"/>
      <c r="Q124" s="245"/>
    </row>
    <row r="125" spans="1:17" s="29" customFormat="1" ht="12.75" hidden="1">
      <c r="A125" s="23" t="s">
        <v>65</v>
      </c>
      <c r="B125" s="250" t="s">
        <v>183</v>
      </c>
      <c r="C125" s="484">
        <f>Oct20!O125</f>
        <v>0</v>
      </c>
      <c r="D125" s="22">
        <f>Oct20!P125</f>
        <v>0</v>
      </c>
      <c r="E125" s="326"/>
      <c r="F125" s="62"/>
      <c r="G125" s="326"/>
      <c r="H125" s="62"/>
      <c r="I125" s="326"/>
      <c r="J125" s="62"/>
      <c r="K125" s="326"/>
      <c r="L125" s="62"/>
      <c r="M125" s="326"/>
      <c r="N125" s="62"/>
      <c r="O125" s="18">
        <f t="shared" si="2"/>
        <v>0</v>
      </c>
      <c r="P125" s="62"/>
      <c r="Q125" s="245"/>
    </row>
    <row r="126" spans="1:17" s="29" customFormat="1" ht="12.75" hidden="1">
      <c r="A126" s="23" t="s">
        <v>180</v>
      </c>
      <c r="B126" s="250" t="s">
        <v>181</v>
      </c>
      <c r="C126" s="484">
        <f>Oct20!O126</f>
        <v>0</v>
      </c>
      <c r="D126" s="22">
        <f>Oct20!P126</f>
        <v>0</v>
      </c>
      <c r="E126" s="326"/>
      <c r="F126" s="62"/>
      <c r="G126" s="326"/>
      <c r="H126" s="62"/>
      <c r="I126" s="326"/>
      <c r="J126" s="62"/>
      <c r="K126" s="326"/>
      <c r="L126" s="62"/>
      <c r="M126" s="326"/>
      <c r="N126" s="62"/>
      <c r="O126" s="18">
        <f t="shared" si="2"/>
        <v>0</v>
      </c>
      <c r="P126" s="62"/>
      <c r="Q126" s="245"/>
    </row>
    <row r="127" spans="1:17" s="29" customFormat="1" ht="12.75" hidden="1">
      <c r="A127" s="23" t="s">
        <v>184</v>
      </c>
      <c r="B127" s="250" t="s">
        <v>185</v>
      </c>
      <c r="C127" s="484">
        <f>Oct20!O127</f>
        <v>97413.83</v>
      </c>
      <c r="D127" s="22">
        <f>Oct20!P127</f>
        <v>0</v>
      </c>
      <c r="E127" s="326"/>
      <c r="F127" s="62"/>
      <c r="G127" s="326"/>
      <c r="H127" s="62"/>
      <c r="I127" s="326"/>
      <c r="J127" s="62"/>
      <c r="K127" s="326"/>
      <c r="L127" s="62"/>
      <c r="M127" s="326"/>
      <c r="N127" s="62"/>
      <c r="O127" s="18">
        <f t="shared" si="2"/>
        <v>97413.83</v>
      </c>
      <c r="P127" s="62"/>
      <c r="Q127" s="245"/>
    </row>
    <row r="128" spans="1:17" s="29" customFormat="1" ht="12.75" hidden="1">
      <c r="A128" s="23" t="s">
        <v>186</v>
      </c>
      <c r="B128" s="250" t="s">
        <v>204</v>
      </c>
      <c r="C128" s="484">
        <f>Oct20!O128</f>
        <v>0</v>
      </c>
      <c r="D128" s="22">
        <f>Oct20!P128</f>
        <v>0</v>
      </c>
      <c r="E128" s="326"/>
      <c r="F128" s="62"/>
      <c r="G128" s="326"/>
      <c r="H128" s="62"/>
      <c r="I128" s="326"/>
      <c r="J128" s="62"/>
      <c r="K128" s="326"/>
      <c r="L128" s="62"/>
      <c r="M128" s="326"/>
      <c r="N128" s="62"/>
      <c r="O128" s="18">
        <f t="shared" si="2"/>
        <v>0</v>
      </c>
      <c r="P128" s="62"/>
      <c r="Q128" s="245"/>
    </row>
    <row r="129" spans="1:17" s="29" customFormat="1" ht="12.75">
      <c r="A129" s="23" t="s">
        <v>219</v>
      </c>
      <c r="B129" s="250" t="s">
        <v>205</v>
      </c>
      <c r="C129" s="484">
        <f>Oct20!O129</f>
        <v>79441.25</v>
      </c>
      <c r="D129" s="22">
        <f>Oct20!P129</f>
        <v>0</v>
      </c>
      <c r="E129" s="326"/>
      <c r="F129" s="62"/>
      <c r="G129" s="326"/>
      <c r="H129" s="62"/>
      <c r="I129" s="326"/>
      <c r="J129" s="62"/>
      <c r="K129" s="326"/>
      <c r="L129" s="62"/>
      <c r="M129" s="326"/>
      <c r="N129" s="62"/>
      <c r="O129" s="18">
        <f t="shared" si="2"/>
        <v>79441.25</v>
      </c>
      <c r="P129" s="62"/>
      <c r="Q129" s="245"/>
    </row>
    <row r="130" spans="1:17" s="29" customFormat="1" ht="12.75">
      <c r="A130" s="23" t="s">
        <v>220</v>
      </c>
      <c r="B130" s="250" t="s">
        <v>206</v>
      </c>
      <c r="C130" s="484">
        <f>Oct20!O130</f>
        <v>162390</v>
      </c>
      <c r="D130" s="22">
        <f>Oct20!P130</f>
        <v>0</v>
      </c>
      <c r="E130" s="326"/>
      <c r="F130" s="62"/>
      <c r="G130" s="326"/>
      <c r="H130" s="62"/>
      <c r="I130" s="326"/>
      <c r="J130" s="62"/>
      <c r="K130" s="326"/>
      <c r="L130" s="62"/>
      <c r="M130" s="326"/>
      <c r="N130" s="62"/>
      <c r="O130" s="18">
        <f t="shared" si="2"/>
        <v>162390</v>
      </c>
      <c r="P130" s="62"/>
      <c r="Q130" s="245"/>
    </row>
    <row r="131" spans="1:17" s="29" customFormat="1" ht="12.75">
      <c r="A131" s="23" t="s">
        <v>584</v>
      </c>
      <c r="B131" s="250" t="s">
        <v>585</v>
      </c>
      <c r="C131" s="484">
        <f>Oct20!O131</f>
        <v>0</v>
      </c>
      <c r="D131" s="22">
        <f>Oct20!P131</f>
        <v>0</v>
      </c>
      <c r="E131" s="326"/>
      <c r="F131" s="62"/>
      <c r="G131" s="326"/>
      <c r="H131" s="62"/>
      <c r="I131" s="326"/>
      <c r="J131" s="62"/>
      <c r="K131" s="326"/>
      <c r="L131" s="62"/>
      <c r="M131" s="326"/>
      <c r="N131" s="62"/>
      <c r="O131" s="18">
        <f t="shared" si="2"/>
        <v>0</v>
      </c>
      <c r="P131" s="62"/>
      <c r="Q131" s="245"/>
    </row>
    <row r="132" spans="1:17" s="29" customFormat="1" ht="12.75">
      <c r="A132" s="23" t="s">
        <v>188</v>
      </c>
      <c r="B132" s="250" t="s">
        <v>189</v>
      </c>
      <c r="C132" s="484">
        <f>Oct20!O132</f>
        <v>0</v>
      </c>
      <c r="D132" s="22">
        <f>Oct20!P132</f>
        <v>0</v>
      </c>
      <c r="E132" s="326"/>
      <c r="F132" s="62"/>
      <c r="G132" s="326"/>
      <c r="H132" s="62"/>
      <c r="I132" s="326"/>
      <c r="J132" s="62"/>
      <c r="K132" s="326"/>
      <c r="L132" s="62"/>
      <c r="M132" s="326"/>
      <c r="N132" s="62"/>
      <c r="O132" s="18">
        <f t="shared" si="2"/>
        <v>0</v>
      </c>
      <c r="P132" s="62"/>
      <c r="Q132" s="245"/>
    </row>
    <row r="133" spans="1:17" s="29" customFormat="1" ht="12.75" customHeight="1">
      <c r="A133" s="23" t="s">
        <v>229</v>
      </c>
      <c r="B133" s="250" t="s">
        <v>227</v>
      </c>
      <c r="C133" s="484">
        <f>Oct20!O133</f>
        <v>58589</v>
      </c>
      <c r="D133" s="22">
        <f>Oct20!P133</f>
        <v>0</v>
      </c>
      <c r="E133" s="326">
        <v>1000</v>
      </c>
      <c r="F133" s="62"/>
      <c r="G133" s="326"/>
      <c r="H133" s="62"/>
      <c r="I133" s="326"/>
      <c r="J133" s="62"/>
      <c r="K133" s="326"/>
      <c r="L133" s="62"/>
      <c r="M133" s="326"/>
      <c r="N133" s="62"/>
      <c r="O133" s="18">
        <f t="shared" si="2"/>
        <v>59589</v>
      </c>
      <c r="P133" s="62"/>
      <c r="Q133" s="245"/>
    </row>
    <row r="134" spans="1:17" s="29" customFormat="1" ht="12.75" customHeight="1">
      <c r="A134" s="23" t="s">
        <v>64</v>
      </c>
      <c r="B134" s="250" t="s">
        <v>187</v>
      </c>
      <c r="C134" s="484">
        <f>Oct20!O134</f>
        <v>0</v>
      </c>
      <c r="D134" s="22">
        <f>Oct20!P134</f>
        <v>0</v>
      </c>
      <c r="E134" s="326"/>
      <c r="F134" s="62"/>
      <c r="G134" s="326"/>
      <c r="H134" s="62"/>
      <c r="I134" s="326"/>
      <c r="J134" s="62"/>
      <c r="K134" s="326"/>
      <c r="L134" s="62"/>
      <c r="M134" s="326"/>
      <c r="N134" s="62"/>
      <c r="O134" s="18">
        <f t="shared" si="2"/>
        <v>0</v>
      </c>
      <c r="P134" s="62"/>
      <c r="Q134" s="245"/>
    </row>
    <row r="135" spans="1:17" s="29" customFormat="1" ht="12.75" customHeight="1">
      <c r="A135" s="23" t="s">
        <v>800</v>
      </c>
      <c r="B135" s="250" t="s">
        <v>586</v>
      </c>
      <c r="C135" s="484">
        <f>Oct20!O135</f>
        <v>290000</v>
      </c>
      <c r="D135" s="22">
        <f>Oct20!P135</f>
        <v>0</v>
      </c>
      <c r="E135" s="326">
        <v>989000</v>
      </c>
      <c r="F135" s="62"/>
      <c r="G135" s="326"/>
      <c r="H135" s="62"/>
      <c r="I135" s="326"/>
      <c r="J135" s="62"/>
      <c r="K135" s="326"/>
      <c r="L135" s="62"/>
      <c r="M135" s="326"/>
      <c r="N135" s="62"/>
      <c r="O135" s="18">
        <f t="shared" si="2"/>
        <v>1279000</v>
      </c>
      <c r="P135" s="62"/>
      <c r="Q135" s="245"/>
    </row>
    <row r="136" spans="1:17" s="29" customFormat="1" ht="12.75" customHeight="1">
      <c r="A136" s="23" t="s">
        <v>233</v>
      </c>
      <c r="B136" s="250" t="s">
        <v>232</v>
      </c>
      <c r="C136" s="484">
        <f>Oct20!O136</f>
        <v>149935171.28</v>
      </c>
      <c r="D136" s="22">
        <f>Oct20!P136</f>
        <v>0</v>
      </c>
      <c r="E136" s="326">
        <v>4235832.87</v>
      </c>
      <c r="F136" s="62"/>
      <c r="G136" s="326"/>
      <c r="H136" s="62"/>
      <c r="I136" s="326"/>
      <c r="J136" s="62"/>
      <c r="K136" s="326"/>
      <c r="L136" s="62"/>
      <c r="M136" s="326">
        <v>497500</v>
      </c>
      <c r="N136" s="62"/>
      <c r="O136" s="18">
        <f t="shared" si="2"/>
        <v>154668504.15</v>
      </c>
      <c r="P136" s="62"/>
      <c r="Q136" s="245"/>
    </row>
    <row r="137" spans="1:17" s="29" customFormat="1" ht="12.75">
      <c r="A137" s="23" t="s">
        <v>69</v>
      </c>
      <c r="B137" s="250" t="s">
        <v>191</v>
      </c>
      <c r="C137" s="484">
        <f>Oct20!O137</f>
        <v>45000</v>
      </c>
      <c r="D137" s="22">
        <f>Oct20!P137</f>
        <v>0</v>
      </c>
      <c r="E137" s="326"/>
      <c r="F137" s="62"/>
      <c r="G137" s="326"/>
      <c r="H137" s="62"/>
      <c r="I137" s="326"/>
      <c r="J137" s="62"/>
      <c r="K137" s="326"/>
      <c r="L137" s="62"/>
      <c r="M137" s="326"/>
      <c r="N137" s="62"/>
      <c r="O137" s="18">
        <f t="shared" si="2"/>
        <v>45000</v>
      </c>
      <c r="P137" s="62"/>
      <c r="Q137" s="245"/>
    </row>
    <row r="138" spans="1:16" s="29" customFormat="1" ht="12.75">
      <c r="A138" s="23" t="s">
        <v>211</v>
      </c>
      <c r="B138" s="250" t="s">
        <v>212</v>
      </c>
      <c r="C138" s="484">
        <f>Oct20!O138</f>
        <v>23115</v>
      </c>
      <c r="D138" s="22">
        <f>Oct20!P138</f>
        <v>0</v>
      </c>
      <c r="E138" s="326"/>
      <c r="F138" s="62"/>
      <c r="G138" s="326"/>
      <c r="H138" s="62"/>
      <c r="I138" s="326"/>
      <c r="J138" s="62"/>
      <c r="K138" s="326"/>
      <c r="L138" s="62"/>
      <c r="M138" s="326"/>
      <c r="N138" s="62"/>
      <c r="O138" s="18">
        <f t="shared" si="2"/>
        <v>23115</v>
      </c>
      <c r="P138" s="62"/>
    </row>
    <row r="139" spans="1:16" s="29" customFormat="1" ht="12.75">
      <c r="A139" s="23" t="s">
        <v>540</v>
      </c>
      <c r="B139" s="250" t="s">
        <v>523</v>
      </c>
      <c r="C139" s="484">
        <f>Oct20!O139</f>
        <v>0</v>
      </c>
      <c r="D139" s="22">
        <f>Oct20!P139</f>
        <v>0</v>
      </c>
      <c r="E139" s="326"/>
      <c r="F139" s="62"/>
      <c r="G139" s="326"/>
      <c r="H139" s="62"/>
      <c r="I139" s="326"/>
      <c r="J139" s="62"/>
      <c r="K139" s="326"/>
      <c r="L139" s="62"/>
      <c r="M139" s="326"/>
      <c r="N139" s="62"/>
      <c r="O139" s="18">
        <f t="shared" si="2"/>
        <v>0</v>
      </c>
      <c r="P139" s="62"/>
    </row>
    <row r="140" spans="1:16" s="29" customFormat="1" ht="12.75">
      <c r="A140" s="23" t="s">
        <v>73</v>
      </c>
      <c r="B140" s="250" t="s">
        <v>192</v>
      </c>
      <c r="C140" s="484">
        <f>Oct20!O140</f>
        <v>531803.26</v>
      </c>
      <c r="D140" s="22">
        <f>Oct20!P140</f>
        <v>0</v>
      </c>
      <c r="E140" s="326">
        <v>132249.6</v>
      </c>
      <c r="F140" s="62"/>
      <c r="G140" s="326"/>
      <c r="H140" s="62"/>
      <c r="I140" s="326"/>
      <c r="J140" s="62"/>
      <c r="K140" s="326"/>
      <c r="L140" s="62"/>
      <c r="M140" s="326"/>
      <c r="N140" s="62"/>
      <c r="O140" s="18">
        <f t="shared" si="2"/>
        <v>664052.86</v>
      </c>
      <c r="P140" s="62"/>
    </row>
    <row r="141" spans="1:16" s="29" customFormat="1" ht="12.75">
      <c r="A141" s="23" t="s">
        <v>38</v>
      </c>
      <c r="B141" s="250" t="s">
        <v>175</v>
      </c>
      <c r="C141" s="484">
        <f>Oct20!O141</f>
        <v>0</v>
      </c>
      <c r="D141" s="22">
        <f>Oct20!P141</f>
        <v>0</v>
      </c>
      <c r="E141" s="326"/>
      <c r="F141" s="62"/>
      <c r="G141" s="326"/>
      <c r="H141" s="62"/>
      <c r="I141" s="326"/>
      <c r="J141" s="62"/>
      <c r="K141" s="326"/>
      <c r="L141" s="62"/>
      <c r="M141" s="326"/>
      <c r="N141" s="62"/>
      <c r="O141" s="18">
        <f t="shared" si="2"/>
        <v>0</v>
      </c>
      <c r="P141" s="62"/>
    </row>
    <row r="142" spans="1:16" s="29" customFormat="1" ht="12.75">
      <c r="A142" s="23" t="s">
        <v>62</v>
      </c>
      <c r="B142" s="250" t="s">
        <v>176</v>
      </c>
      <c r="C142" s="484">
        <f>Oct20!O142</f>
        <v>0</v>
      </c>
      <c r="D142" s="22">
        <f>Oct20!P142</f>
        <v>0</v>
      </c>
      <c r="E142" s="326"/>
      <c r="F142" s="62"/>
      <c r="G142" s="326"/>
      <c r="H142" s="62"/>
      <c r="I142" s="326"/>
      <c r="J142" s="62"/>
      <c r="K142" s="326"/>
      <c r="L142" s="62"/>
      <c r="M142" s="326"/>
      <c r="N142" s="62"/>
      <c r="O142" s="18">
        <f t="shared" si="2"/>
        <v>0</v>
      </c>
      <c r="P142" s="62"/>
    </row>
    <row r="143" spans="1:16" s="29" customFormat="1" ht="12.75">
      <c r="A143" s="23" t="s">
        <v>63</v>
      </c>
      <c r="B143" s="250" t="s">
        <v>177</v>
      </c>
      <c r="C143" s="484">
        <f>Oct20!O143</f>
        <v>2330</v>
      </c>
      <c r="D143" s="22">
        <f>Oct20!P143</f>
        <v>0</v>
      </c>
      <c r="E143" s="326">
        <v>150</v>
      </c>
      <c r="F143" s="62"/>
      <c r="G143" s="326"/>
      <c r="H143" s="62"/>
      <c r="I143" s="326"/>
      <c r="J143" s="62"/>
      <c r="K143" s="326"/>
      <c r="L143" s="62"/>
      <c r="M143" s="326"/>
      <c r="N143" s="62"/>
      <c r="O143" s="18">
        <f t="shared" si="2"/>
        <v>2480</v>
      </c>
      <c r="P143" s="62"/>
    </row>
    <row r="144" spans="1:16" s="29" customFormat="1" ht="12.75">
      <c r="A144" s="23" t="s">
        <v>560</v>
      </c>
      <c r="B144" s="250" t="s">
        <v>561</v>
      </c>
      <c r="C144" s="484">
        <f>Oct20!O144</f>
        <v>1105</v>
      </c>
      <c r="D144" s="22">
        <f>Oct20!P144</f>
        <v>0</v>
      </c>
      <c r="E144" s="326"/>
      <c r="F144" s="62"/>
      <c r="G144" s="326"/>
      <c r="H144" s="62"/>
      <c r="I144" s="326"/>
      <c r="J144" s="62"/>
      <c r="K144" s="326"/>
      <c r="L144" s="62"/>
      <c r="M144" s="326"/>
      <c r="N144" s="62"/>
      <c r="O144" s="18">
        <f t="shared" si="2"/>
        <v>1105</v>
      </c>
      <c r="P144" s="62"/>
    </row>
    <row r="145" spans="1:16" s="29" customFormat="1" ht="12.75">
      <c r="A145" s="23" t="s">
        <v>53</v>
      </c>
      <c r="B145" s="250" t="s">
        <v>528</v>
      </c>
      <c r="C145" s="484">
        <f>Oct20!O145</f>
        <v>691764.69</v>
      </c>
      <c r="D145" s="22">
        <f>Oct20!P145</f>
        <v>0</v>
      </c>
      <c r="E145" s="326"/>
      <c r="F145" s="62"/>
      <c r="G145" s="326"/>
      <c r="H145" s="62"/>
      <c r="I145" s="326"/>
      <c r="J145" s="62"/>
      <c r="K145" s="326"/>
      <c r="L145" s="62"/>
      <c r="M145" s="326"/>
      <c r="N145" s="62"/>
      <c r="O145" s="18">
        <f t="shared" si="2"/>
        <v>691764.69</v>
      </c>
      <c r="P145" s="62"/>
    </row>
    <row r="146" spans="1:16" s="29" customFormat="1" ht="12.75">
      <c r="A146" s="23" t="s">
        <v>701</v>
      </c>
      <c r="B146" s="250" t="s">
        <v>702</v>
      </c>
      <c r="C146" s="484">
        <f>Oct20!O146</f>
        <v>0</v>
      </c>
      <c r="D146" s="22">
        <f>Oct20!P146</f>
        <v>0</v>
      </c>
      <c r="E146" s="326"/>
      <c r="F146" s="62"/>
      <c r="G146" s="326"/>
      <c r="H146" s="62"/>
      <c r="I146" s="326"/>
      <c r="J146" s="62"/>
      <c r="K146" s="326"/>
      <c r="L146" s="62"/>
      <c r="M146" s="326"/>
      <c r="N146" s="62"/>
      <c r="O146" s="18">
        <f>C146+E146+I146+M146-D146-F146-J146-N146+G146-H146+K146-L146</f>
        <v>0</v>
      </c>
      <c r="P146" s="62"/>
    </row>
    <row r="147" spans="1:16" s="29" customFormat="1" ht="12.75">
      <c r="A147" s="23" t="s">
        <v>68</v>
      </c>
      <c r="B147" s="250" t="s">
        <v>174</v>
      </c>
      <c r="C147" s="484">
        <f>Oct20!O147</f>
        <v>0</v>
      </c>
      <c r="D147" s="22">
        <f>Oct20!P147</f>
        <v>0</v>
      </c>
      <c r="E147" s="326"/>
      <c r="F147" s="62"/>
      <c r="G147" s="326"/>
      <c r="H147" s="62"/>
      <c r="I147" s="326"/>
      <c r="J147" s="62"/>
      <c r="K147" s="326"/>
      <c r="L147" s="62"/>
      <c r="M147" s="326"/>
      <c r="N147" s="62"/>
      <c r="O147" s="18">
        <f>C147+E147+I147+M147-D147-F147-J147-N147+G147-H147+K147-L147</f>
        <v>0</v>
      </c>
      <c r="P147" s="62"/>
    </row>
    <row r="148" spans="1:16" s="29" customFormat="1" ht="12.75">
      <c r="A148" s="23" t="s">
        <v>730</v>
      </c>
      <c r="B148" s="250" t="s">
        <v>731</v>
      </c>
      <c r="C148" s="484">
        <f>Oct20!O148</f>
        <v>0</v>
      </c>
      <c r="D148" s="22">
        <f>Oct20!P148</f>
        <v>0</v>
      </c>
      <c r="E148" s="326"/>
      <c r="F148" s="62"/>
      <c r="G148" s="326"/>
      <c r="H148" s="62"/>
      <c r="I148" s="326"/>
      <c r="J148" s="62"/>
      <c r="K148" s="326"/>
      <c r="L148" s="62"/>
      <c r="M148" s="326"/>
      <c r="N148" s="62"/>
      <c r="O148" s="18">
        <f>C148+E148+I148+M148-D148-F148-J148-N148+G148-H148+K148-L148</f>
        <v>0</v>
      </c>
      <c r="P148" s="62"/>
    </row>
    <row r="149" spans="1:16" s="29" customFormat="1" ht="12.75">
      <c r="A149" s="23" t="s">
        <v>23</v>
      </c>
      <c r="B149" s="250" t="s">
        <v>524</v>
      </c>
      <c r="C149" s="484">
        <f>Oct20!O149</f>
        <v>875049.1300000001</v>
      </c>
      <c r="D149" s="22">
        <f>Oct20!P149</f>
        <v>0</v>
      </c>
      <c r="E149" s="326">
        <v>70199.64</v>
      </c>
      <c r="F149" s="62"/>
      <c r="G149" s="326"/>
      <c r="H149" s="62"/>
      <c r="I149" s="326"/>
      <c r="J149" s="62"/>
      <c r="K149" s="326"/>
      <c r="L149" s="62"/>
      <c r="M149" s="326"/>
      <c r="N149" s="62"/>
      <c r="O149" s="18">
        <f>C149+E149+I149+M149-D149-F149-J149-N149+G149-H149+K149-L149</f>
        <v>945248.7700000001</v>
      </c>
      <c r="P149" s="62"/>
    </row>
    <row r="150" spans="1:16" s="29" customFormat="1" ht="12.75">
      <c r="A150" s="23" t="s">
        <v>245</v>
      </c>
      <c r="B150" s="250" t="s">
        <v>525</v>
      </c>
      <c r="C150" s="484">
        <f>Oct20!O150</f>
        <v>0</v>
      </c>
      <c r="D150" s="22">
        <f>Oct20!P150</f>
        <v>0</v>
      </c>
      <c r="E150" s="326"/>
      <c r="F150" s="62"/>
      <c r="G150" s="326"/>
      <c r="H150" s="62"/>
      <c r="I150" s="326"/>
      <c r="J150" s="62"/>
      <c r="K150" s="326"/>
      <c r="L150" s="62"/>
      <c r="M150" s="326"/>
      <c r="N150" s="62"/>
      <c r="O150" s="18">
        <f>C150+E150+I150+M150-D150-F150-J150-N150+G150-H150+K150-L150</f>
        <v>0</v>
      </c>
      <c r="P150" s="62"/>
    </row>
    <row r="151" spans="1:16" s="29" customFormat="1" ht="12.75">
      <c r="A151" s="8" t="s">
        <v>214</v>
      </c>
      <c r="B151" s="250" t="s">
        <v>574</v>
      </c>
      <c r="C151" s="484">
        <f>Oct20!O151</f>
        <v>0</v>
      </c>
      <c r="D151" s="22">
        <f>Oct20!P151</f>
        <v>0</v>
      </c>
      <c r="E151" s="326"/>
      <c r="F151" s="62"/>
      <c r="G151" s="326"/>
      <c r="H151" s="62"/>
      <c r="I151" s="326"/>
      <c r="J151" s="62"/>
      <c r="K151" s="326"/>
      <c r="L151" s="62"/>
      <c r="M151" s="326"/>
      <c r="N151" s="62"/>
      <c r="O151" s="18">
        <f aca="true" t="shared" si="3" ref="O151:O157">C151+E151+I151+M151-D151-F151-J151-N151+G151-H151+K151-L151</f>
        <v>0</v>
      </c>
      <c r="P151" s="62"/>
    </row>
    <row r="152" spans="1:16" s="29" customFormat="1" ht="12.75">
      <c r="A152" s="8" t="s">
        <v>77</v>
      </c>
      <c r="B152" s="250" t="s">
        <v>575</v>
      </c>
      <c r="C152" s="484">
        <f>Oct20!O152</f>
        <v>0</v>
      </c>
      <c r="D152" s="22">
        <f>Oct20!P152</f>
        <v>0</v>
      </c>
      <c r="E152" s="326"/>
      <c r="F152" s="62"/>
      <c r="G152" s="326"/>
      <c r="H152" s="62"/>
      <c r="I152" s="326"/>
      <c r="J152" s="62"/>
      <c r="K152" s="326"/>
      <c r="L152" s="62"/>
      <c r="M152" s="326"/>
      <c r="N152" s="62"/>
      <c r="O152" s="18">
        <f t="shared" si="3"/>
        <v>0</v>
      </c>
      <c r="P152" s="62"/>
    </row>
    <row r="153" spans="1:16" s="29" customFormat="1" ht="12.75">
      <c r="A153" s="8" t="s">
        <v>78</v>
      </c>
      <c r="B153" s="250" t="s">
        <v>576</v>
      </c>
      <c r="C153" s="484">
        <f>Oct20!O153</f>
        <v>0</v>
      </c>
      <c r="D153" s="22">
        <f>Oct20!P153</f>
        <v>0</v>
      </c>
      <c r="E153" s="326"/>
      <c r="F153" s="62"/>
      <c r="G153" s="326"/>
      <c r="H153" s="62"/>
      <c r="I153" s="326"/>
      <c r="J153" s="62"/>
      <c r="K153" s="326"/>
      <c r="L153" s="62"/>
      <c r="M153" s="326"/>
      <c r="N153" s="62"/>
      <c r="O153" s="18">
        <f t="shared" si="3"/>
        <v>0</v>
      </c>
      <c r="P153" s="62"/>
    </row>
    <row r="154" spans="1:16" s="29" customFormat="1" ht="12.75">
      <c r="A154" s="8" t="s">
        <v>801</v>
      </c>
      <c r="B154" s="250" t="s">
        <v>802</v>
      </c>
      <c r="C154" s="484">
        <f>Oct20!O154</f>
        <v>434368.27</v>
      </c>
      <c r="D154" s="22">
        <f>Oct20!P154</f>
        <v>0</v>
      </c>
      <c r="E154" s="326"/>
      <c r="F154" s="62"/>
      <c r="G154" s="326"/>
      <c r="H154" s="62"/>
      <c r="I154" s="326"/>
      <c r="J154" s="62"/>
      <c r="K154" s="326"/>
      <c r="L154" s="62"/>
      <c r="M154" s="326">
        <v>228719.54</v>
      </c>
      <c r="N154" s="62"/>
      <c r="O154" s="18">
        <f t="shared" si="3"/>
        <v>663087.81</v>
      </c>
      <c r="P154" s="62"/>
    </row>
    <row r="155" spans="1:16" s="29" customFormat="1" ht="12.75">
      <c r="A155" s="8" t="s">
        <v>803</v>
      </c>
      <c r="B155" s="250" t="s">
        <v>579</v>
      </c>
      <c r="C155" s="484">
        <f>Oct20!O155</f>
        <v>0</v>
      </c>
      <c r="D155" s="22">
        <f>Oct20!P155</f>
        <v>0</v>
      </c>
      <c r="E155" s="326"/>
      <c r="F155" s="62"/>
      <c r="G155" s="326"/>
      <c r="H155" s="62"/>
      <c r="I155" s="326"/>
      <c r="J155" s="62"/>
      <c r="K155" s="326"/>
      <c r="L155" s="62"/>
      <c r="M155" s="326">
        <v>8939.43</v>
      </c>
      <c r="N155" s="62"/>
      <c r="O155" s="18">
        <f t="shared" si="3"/>
        <v>8939.43</v>
      </c>
      <c r="P155" s="62"/>
    </row>
    <row r="156" spans="1:16" s="29" customFormat="1" ht="12.75">
      <c r="A156" s="8" t="s">
        <v>580</v>
      </c>
      <c r="B156" s="250" t="s">
        <v>581</v>
      </c>
      <c r="C156" s="484">
        <f>Oct20!O156</f>
        <v>0</v>
      </c>
      <c r="D156" s="22">
        <f>Oct20!P156</f>
        <v>0</v>
      </c>
      <c r="E156" s="326"/>
      <c r="F156" s="62"/>
      <c r="G156" s="326"/>
      <c r="H156" s="62"/>
      <c r="I156" s="326"/>
      <c r="J156" s="62"/>
      <c r="K156" s="326"/>
      <c r="L156" s="62"/>
      <c r="M156" s="326"/>
      <c r="N156" s="62"/>
      <c r="O156" s="18">
        <f t="shared" si="3"/>
        <v>0</v>
      </c>
      <c r="P156" s="62"/>
    </row>
    <row r="157" spans="1:16" s="29" customFormat="1" ht="13.5" thickBot="1">
      <c r="A157" s="8" t="s">
        <v>82</v>
      </c>
      <c r="B157" s="510" t="s">
        <v>582</v>
      </c>
      <c r="C157" s="484">
        <f>Oct20!O157</f>
        <v>0</v>
      </c>
      <c r="D157" s="22">
        <f>Oct20!P157</f>
        <v>0</v>
      </c>
      <c r="E157" s="326"/>
      <c r="F157" s="62"/>
      <c r="G157" s="326"/>
      <c r="H157" s="62"/>
      <c r="I157" s="326"/>
      <c r="J157" s="62"/>
      <c r="K157" s="326"/>
      <c r="L157" s="62"/>
      <c r="M157" s="326"/>
      <c r="N157" s="62"/>
      <c r="O157" s="273">
        <f t="shared" si="3"/>
        <v>0</v>
      </c>
      <c r="P157" s="62"/>
    </row>
    <row r="158" spans="1:16" s="29" customFormat="1" ht="13.5" thickBot="1">
      <c r="A158" s="123" t="s">
        <v>24</v>
      </c>
      <c r="B158" s="124"/>
      <c r="C158" s="321">
        <f>SUM(C14:C157)</f>
        <v>298924192.80999994</v>
      </c>
      <c r="D158" s="321">
        <f>SUM(D14:D157)</f>
        <v>298924192.80999994</v>
      </c>
      <c r="E158" s="321">
        <f aca="true" t="shared" si="4" ref="E158:P158">SUM(E14:E157)</f>
        <v>9485738.6</v>
      </c>
      <c r="F158" s="321">
        <f t="shared" si="4"/>
        <v>9485738.6</v>
      </c>
      <c r="G158" s="321">
        <f t="shared" si="4"/>
        <v>0</v>
      </c>
      <c r="H158" s="321">
        <f t="shared" si="4"/>
        <v>0</v>
      </c>
      <c r="I158" s="321">
        <f t="shared" si="4"/>
        <v>0</v>
      </c>
      <c r="J158" s="321">
        <f t="shared" si="4"/>
        <v>0</v>
      </c>
      <c r="K158" s="321">
        <f t="shared" si="4"/>
        <v>0</v>
      </c>
      <c r="L158" s="321">
        <f t="shared" si="4"/>
        <v>0</v>
      </c>
      <c r="M158" s="321">
        <f t="shared" si="4"/>
        <v>5210298.67</v>
      </c>
      <c r="N158" s="321">
        <f t="shared" si="4"/>
        <v>5210298.67</v>
      </c>
      <c r="O158" s="321">
        <f t="shared" si="4"/>
        <v>303496738.96</v>
      </c>
      <c r="P158" s="481">
        <f t="shared" si="4"/>
        <v>303496738.96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0" spans="1:16" s="29" customFormat="1" ht="12.75">
      <c r="A160" s="16" t="s">
        <v>25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 t="s">
        <v>55</v>
      </c>
      <c r="P160" s="30"/>
    </row>
    <row r="161" spans="1:16" s="29" customFormat="1" ht="12.75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9"/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0"/>
      <c r="P162" s="30"/>
    </row>
    <row r="163" spans="1:16" s="29" customFormat="1" ht="12.75">
      <c r="A163" s="17" t="s">
        <v>658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0" t="s">
        <v>712</v>
      </c>
      <c r="P163" s="30"/>
    </row>
    <row r="164" spans="1:16" s="29" customFormat="1" ht="12.75">
      <c r="A164" s="16" t="s">
        <v>210</v>
      </c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567" t="s">
        <v>224</v>
      </c>
      <c r="P164" s="567"/>
    </row>
  </sheetData>
  <sheetProtection/>
  <mergeCells count="17">
    <mergeCell ref="O10:O11"/>
    <mergeCell ref="A2:P2"/>
    <mergeCell ref="A3:P3"/>
    <mergeCell ref="A5:P5"/>
    <mergeCell ref="A6:P6"/>
    <mergeCell ref="A7:P7"/>
    <mergeCell ref="A8:P8"/>
    <mergeCell ref="O164:P164"/>
    <mergeCell ref="P10:P11"/>
    <mergeCell ref="A9:P9"/>
    <mergeCell ref="C10:D10"/>
    <mergeCell ref="E10:F10"/>
    <mergeCell ref="G10:H10"/>
    <mergeCell ref="I10:J10"/>
    <mergeCell ref="K10:L10"/>
    <mergeCell ref="M10:N10"/>
    <mergeCell ref="A10:A11"/>
  </mergeCells>
  <printOptions/>
  <pageMargins left="0.73" right="0.13" top="0.64" bottom="0.3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3"/>
  <sheetViews>
    <sheetView zoomScalePageLayoutView="0" workbookViewId="0" topLeftCell="A1">
      <pane xSplit="2" ySplit="11" topLeftCell="I5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66" sqref="L66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12" width="17.7109375" style="30" customWidth="1"/>
    <col min="13" max="13" width="17.28125" style="30" customWidth="1"/>
    <col min="14" max="14" width="18.0039062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777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34"/>
      <c r="B10" s="35" t="s">
        <v>4</v>
      </c>
      <c r="C10" s="538" t="s">
        <v>794</v>
      </c>
      <c r="D10" s="539"/>
      <c r="E10" s="538" t="s">
        <v>49</v>
      </c>
      <c r="F10" s="539"/>
      <c r="G10" s="538" t="s">
        <v>54</v>
      </c>
      <c r="H10" s="539"/>
      <c r="I10" s="538" t="s">
        <v>48</v>
      </c>
      <c r="J10" s="539"/>
      <c r="K10" s="538" t="s">
        <v>57</v>
      </c>
      <c r="L10" s="539"/>
      <c r="M10" s="538" t="s">
        <v>50</v>
      </c>
      <c r="N10" s="539"/>
      <c r="O10" s="538" t="s">
        <v>799</v>
      </c>
      <c r="P10" s="539"/>
    </row>
    <row r="11" spans="1:16" ht="15.75">
      <c r="A11" s="36" t="s">
        <v>5</v>
      </c>
      <c r="B11" s="37" t="s">
        <v>6</v>
      </c>
      <c r="C11" s="337" t="s">
        <v>7</v>
      </c>
      <c r="D11" s="336" t="s">
        <v>8</v>
      </c>
      <c r="E11" s="337" t="s">
        <v>7</v>
      </c>
      <c r="F11" s="336" t="s">
        <v>8</v>
      </c>
      <c r="G11" s="337" t="s">
        <v>7</v>
      </c>
      <c r="H11" s="336" t="s">
        <v>8</v>
      </c>
      <c r="I11" s="337" t="s">
        <v>7</v>
      </c>
      <c r="J11" s="336" t="s">
        <v>8</v>
      </c>
      <c r="K11" s="337" t="s">
        <v>7</v>
      </c>
      <c r="L11" s="336" t="s">
        <v>8</v>
      </c>
      <c r="M11" s="337" t="s">
        <v>7</v>
      </c>
      <c r="N11" s="336" t="s">
        <v>8</v>
      </c>
      <c r="O11" s="325" t="s">
        <v>7</v>
      </c>
      <c r="P11" s="38" t="s">
        <v>8</v>
      </c>
    </row>
    <row r="12" spans="1:16" ht="13.5" customHeight="1">
      <c r="A12" s="40"/>
      <c r="B12" s="518"/>
      <c r="C12" s="482"/>
      <c r="D12" s="114"/>
      <c r="E12" s="319"/>
      <c r="F12" s="114"/>
      <c r="G12" s="319"/>
      <c r="H12" s="114"/>
      <c r="I12" s="319"/>
      <c r="J12" s="114"/>
      <c r="K12" s="319"/>
      <c r="L12" s="114"/>
      <c r="M12" s="319"/>
      <c r="N12" s="114"/>
      <c r="O12" s="519"/>
      <c r="P12" s="114"/>
    </row>
    <row r="13" spans="1:16" ht="12.75" customHeight="1">
      <c r="A13" s="4" t="s">
        <v>9</v>
      </c>
      <c r="B13" s="505"/>
      <c r="C13" s="483"/>
      <c r="D13" s="115"/>
      <c r="E13" s="56"/>
      <c r="F13" s="115"/>
      <c r="G13" s="56"/>
      <c r="H13" s="331"/>
      <c r="I13" s="56"/>
      <c r="J13" s="115"/>
      <c r="K13" s="56"/>
      <c r="L13" s="331"/>
      <c r="M13" s="56"/>
      <c r="N13" s="115"/>
      <c r="O13" s="56"/>
      <c r="P13" s="115"/>
    </row>
    <row r="14" spans="1:16" ht="12.75">
      <c r="A14" s="102" t="s">
        <v>678</v>
      </c>
      <c r="B14" s="506" t="s">
        <v>679</v>
      </c>
      <c r="C14" s="484">
        <f>Nov20!O14</f>
        <v>0</v>
      </c>
      <c r="D14" s="22">
        <f>Nov20!P14</f>
        <v>0</v>
      </c>
      <c r="E14" s="18"/>
      <c r="F14" s="329"/>
      <c r="G14" s="18"/>
      <c r="H14" s="331"/>
      <c r="I14" s="18"/>
      <c r="J14" s="329"/>
      <c r="K14" s="18"/>
      <c r="L14" s="331"/>
      <c r="M14" s="18"/>
      <c r="N14" s="329"/>
      <c r="O14" s="18">
        <f>C14+E14+I14+M14-D14-F14-J14-N14+G14-H14+K14-L14</f>
        <v>0</v>
      </c>
      <c r="P14" s="22"/>
    </row>
    <row r="15" spans="1:16" s="29" customFormat="1" ht="12.75">
      <c r="A15" s="49" t="s">
        <v>101</v>
      </c>
      <c r="B15" s="506" t="s">
        <v>100</v>
      </c>
      <c r="C15" s="484">
        <f>Nov20!O15</f>
        <v>35000</v>
      </c>
      <c r="D15" s="22">
        <f>Nov20!P15</f>
        <v>0</v>
      </c>
      <c r="E15" s="18"/>
      <c r="F15" s="329"/>
      <c r="G15" s="18"/>
      <c r="H15" s="331"/>
      <c r="I15" s="18"/>
      <c r="J15" s="329"/>
      <c r="K15" s="18"/>
      <c r="L15" s="331"/>
      <c r="M15" s="18"/>
      <c r="N15" s="350">
        <v>15000</v>
      </c>
      <c r="O15" s="18">
        <f aca="true" t="shared" si="0" ref="O15:O83">C15+E15+I15+M15-D15-F15-J15-N15+G15-H15+K15-L15</f>
        <v>20000</v>
      </c>
      <c r="P15" s="22"/>
    </row>
    <row r="16" spans="1:16" s="29" customFormat="1" ht="12.75">
      <c r="A16" s="49" t="s">
        <v>589</v>
      </c>
      <c r="B16" s="506" t="s">
        <v>230</v>
      </c>
      <c r="C16" s="484">
        <f>Nov20!O16</f>
        <v>333912.42</v>
      </c>
      <c r="D16" s="22">
        <f>Nov20!P16</f>
        <v>0</v>
      </c>
      <c r="E16" s="328"/>
      <c r="F16" s="22"/>
      <c r="G16" s="328"/>
      <c r="H16" s="331"/>
      <c r="I16" s="328"/>
      <c r="J16" s="329"/>
      <c r="K16" s="328"/>
      <c r="L16" s="331"/>
      <c r="M16" s="328"/>
      <c r="N16" s="330"/>
      <c r="O16" s="18">
        <f t="shared" si="0"/>
        <v>333912.42</v>
      </c>
      <c r="P16" s="22"/>
    </row>
    <row r="17" spans="1:16" s="29" customFormat="1" ht="12.75">
      <c r="A17" s="49" t="s">
        <v>636</v>
      </c>
      <c r="B17" s="506" t="s">
        <v>590</v>
      </c>
      <c r="C17" s="484">
        <f>Nov20!O17</f>
        <v>21573113.93</v>
      </c>
      <c r="D17" s="22">
        <f>Nov20!P17</f>
        <v>0</v>
      </c>
      <c r="E17" s="328"/>
      <c r="F17" s="330"/>
      <c r="G17" s="328"/>
      <c r="H17" s="331"/>
      <c r="I17" s="328"/>
      <c r="J17" s="330"/>
      <c r="K17" s="328"/>
      <c r="L17" s="22"/>
      <c r="M17" s="328"/>
      <c r="N17" s="330"/>
      <c r="O17" s="18">
        <f t="shared" si="0"/>
        <v>21573113.93</v>
      </c>
      <c r="P17" s="22"/>
    </row>
    <row r="18" spans="1:16" s="29" customFormat="1" ht="12.75">
      <c r="A18" s="49" t="s">
        <v>103</v>
      </c>
      <c r="B18" s="506" t="s">
        <v>102</v>
      </c>
      <c r="C18" s="484">
        <f>Nov20!O18</f>
        <v>14834952.089999976</v>
      </c>
      <c r="D18" s="22">
        <f>Nov20!P18</f>
        <v>0</v>
      </c>
      <c r="E18" s="328"/>
      <c r="F18" s="330">
        <v>46340335.24</v>
      </c>
      <c r="G18" s="328"/>
      <c r="H18" s="331"/>
      <c r="I18" s="328"/>
      <c r="J18" s="330"/>
      <c r="K18" s="328"/>
      <c r="L18" s="22"/>
      <c r="M18" s="328">
        <f>116927.18+482816.84+2088826+20875297.4+9000+97273+7860932.6</f>
        <v>31531073.019999996</v>
      </c>
      <c r="N18" s="330"/>
      <c r="O18" s="18">
        <f>C18+E18+I18+M18-D18-F18-J18-N18+G18-H18+K18-L18</f>
        <v>25689.869999967515</v>
      </c>
      <c r="P18" s="22"/>
    </row>
    <row r="19" spans="1:16" s="29" customFormat="1" ht="12.75">
      <c r="A19" s="49" t="s">
        <v>10</v>
      </c>
      <c r="B19" s="506" t="s">
        <v>104</v>
      </c>
      <c r="C19" s="484">
        <f>Nov20!O19</f>
        <v>2110849.0100000016</v>
      </c>
      <c r="D19" s="22">
        <f>Nov20!P19</f>
        <v>0</v>
      </c>
      <c r="E19" s="328"/>
      <c r="F19" s="330"/>
      <c r="G19" s="328"/>
      <c r="H19" s="331"/>
      <c r="I19" s="328"/>
      <c r="J19" s="330"/>
      <c r="K19" s="328">
        <v>2110162.77</v>
      </c>
      <c r="L19" s="22"/>
      <c r="M19" s="328"/>
      <c r="N19" s="330"/>
      <c r="O19" s="18">
        <f t="shared" si="0"/>
        <v>4221011.780000001</v>
      </c>
      <c r="P19" s="22"/>
    </row>
    <row r="20" spans="1:16" s="29" customFormat="1" ht="12.75">
      <c r="A20" s="49" t="s">
        <v>567</v>
      </c>
      <c r="B20" s="506" t="s">
        <v>568</v>
      </c>
      <c r="C20" s="484">
        <f>Nov20!O20</f>
        <v>22237581.29</v>
      </c>
      <c r="D20" s="22">
        <f>Nov20!P20</f>
        <v>0</v>
      </c>
      <c r="E20" s="328"/>
      <c r="F20" s="122"/>
      <c r="G20" s="328"/>
      <c r="H20" s="332"/>
      <c r="I20" s="328"/>
      <c r="J20" s="122"/>
      <c r="K20" s="328"/>
      <c r="L20" s="332"/>
      <c r="M20" s="328"/>
      <c r="N20" s="122"/>
      <c r="O20" s="18">
        <f t="shared" si="0"/>
        <v>22237581.29</v>
      </c>
      <c r="P20" s="122"/>
    </row>
    <row r="21" spans="1:16" s="29" customFormat="1" ht="12.75">
      <c r="A21" s="49" t="s">
        <v>734</v>
      </c>
      <c r="B21" s="506" t="s">
        <v>735</v>
      </c>
      <c r="C21" s="484">
        <f>Nov20!O21</f>
        <v>497000</v>
      </c>
      <c r="D21" s="22">
        <f>Nov20!P21</f>
        <v>0</v>
      </c>
      <c r="E21" s="328">
        <v>469526.4</v>
      </c>
      <c r="F21" s="122"/>
      <c r="G21" s="328"/>
      <c r="H21" s="332"/>
      <c r="I21" s="328"/>
      <c r="J21" s="122"/>
      <c r="K21" s="328"/>
      <c r="L21" s="332"/>
      <c r="M21" s="328"/>
      <c r="N21" s="122"/>
      <c r="O21" s="18">
        <f t="shared" si="0"/>
        <v>966526.4</v>
      </c>
      <c r="P21" s="122"/>
    </row>
    <row r="22" spans="1:16" s="29" customFormat="1" ht="12.75" customHeight="1">
      <c r="A22" s="49" t="s">
        <v>11</v>
      </c>
      <c r="B22" s="506" t="s">
        <v>105</v>
      </c>
      <c r="C22" s="484">
        <f>Nov20!O22</f>
        <v>734827.22</v>
      </c>
      <c r="D22" s="22">
        <f>Nov20!P22</f>
        <v>0</v>
      </c>
      <c r="E22" s="328">
        <v>594600</v>
      </c>
      <c r="F22" s="122"/>
      <c r="G22" s="328"/>
      <c r="H22" s="332"/>
      <c r="I22" s="328"/>
      <c r="J22" s="122"/>
      <c r="K22" s="328"/>
      <c r="L22" s="332"/>
      <c r="M22" s="328"/>
      <c r="N22" s="122">
        <v>1228073.22</v>
      </c>
      <c r="O22" s="18">
        <f t="shared" si="0"/>
        <v>101354</v>
      </c>
      <c r="P22" s="122"/>
    </row>
    <row r="23" spans="1:16" s="29" customFormat="1" ht="12.75" customHeight="1">
      <c r="A23" s="74" t="s">
        <v>108</v>
      </c>
      <c r="B23" s="507" t="s">
        <v>106</v>
      </c>
      <c r="C23" s="484">
        <f>Nov20!O23</f>
        <v>2400</v>
      </c>
      <c r="D23" s="22">
        <f>Nov20!P23</f>
        <v>0</v>
      </c>
      <c r="E23" s="328">
        <v>1600</v>
      </c>
      <c r="F23" s="122"/>
      <c r="G23" s="328"/>
      <c r="H23" s="332"/>
      <c r="I23" s="328"/>
      <c r="J23" s="122"/>
      <c r="K23" s="328"/>
      <c r="L23" s="332"/>
      <c r="M23" s="328"/>
      <c r="N23" s="122">
        <v>4000</v>
      </c>
      <c r="O23" s="18">
        <f t="shared" si="0"/>
        <v>0</v>
      </c>
      <c r="P23" s="122"/>
    </row>
    <row r="24" spans="1:16" s="29" customFormat="1" ht="12.75" customHeight="1">
      <c r="A24" s="49" t="s">
        <v>109</v>
      </c>
      <c r="B24" s="506" t="s">
        <v>107</v>
      </c>
      <c r="C24" s="484">
        <f>Nov20!O24</f>
        <v>0</v>
      </c>
      <c r="D24" s="22">
        <f>Nov20!P24</f>
        <v>0</v>
      </c>
      <c r="E24" s="328"/>
      <c r="F24" s="122"/>
      <c r="G24" s="328"/>
      <c r="H24" s="332"/>
      <c r="I24" s="328"/>
      <c r="J24" s="122"/>
      <c r="K24" s="328"/>
      <c r="L24" s="332"/>
      <c r="M24" s="328"/>
      <c r="N24" s="122"/>
      <c r="O24" s="18">
        <f t="shared" si="0"/>
        <v>0</v>
      </c>
      <c r="P24" s="122"/>
    </row>
    <row r="25" spans="1:16" s="29" customFormat="1" ht="12.75" customHeight="1">
      <c r="A25" s="49" t="s">
        <v>239</v>
      </c>
      <c r="B25" s="506" t="s">
        <v>240</v>
      </c>
      <c r="C25" s="484">
        <f>Nov20!O25</f>
        <v>0</v>
      </c>
      <c r="D25" s="22">
        <f>Nov20!P25</f>
        <v>0</v>
      </c>
      <c r="E25" s="328"/>
      <c r="F25" s="122"/>
      <c r="G25" s="328"/>
      <c r="H25" s="332"/>
      <c r="I25" s="328"/>
      <c r="J25" s="122"/>
      <c r="K25" s="328"/>
      <c r="L25" s="332"/>
      <c r="M25" s="328"/>
      <c r="N25" s="122"/>
      <c r="O25" s="18">
        <f t="shared" si="0"/>
        <v>0</v>
      </c>
      <c r="P25" s="122"/>
    </row>
    <row r="26" spans="1:16" s="29" customFormat="1" ht="12.75" customHeight="1">
      <c r="A26" s="49" t="s">
        <v>238</v>
      </c>
      <c r="B26" s="506" t="s">
        <v>231</v>
      </c>
      <c r="C26" s="484">
        <f>Nov20!O26</f>
        <v>0</v>
      </c>
      <c r="D26" s="22">
        <f>Nov20!P26</f>
        <v>0</v>
      </c>
      <c r="E26" s="328"/>
      <c r="F26" s="122"/>
      <c r="G26" s="328"/>
      <c r="H26" s="332"/>
      <c r="I26" s="328"/>
      <c r="J26" s="122"/>
      <c r="K26" s="328"/>
      <c r="L26" s="332"/>
      <c r="M26" s="328"/>
      <c r="N26" s="122"/>
      <c r="O26" s="18">
        <f t="shared" si="0"/>
        <v>0</v>
      </c>
      <c r="P26" s="122"/>
    </row>
    <row r="27" spans="1:16" s="29" customFormat="1" ht="12.75" customHeight="1">
      <c r="A27" s="49" t="s">
        <v>534</v>
      </c>
      <c r="B27" s="506" t="s">
        <v>526</v>
      </c>
      <c r="C27" s="484">
        <f>Nov20!O27</f>
        <v>0</v>
      </c>
      <c r="D27" s="22">
        <f>Nov20!P27</f>
        <v>0</v>
      </c>
      <c r="E27" s="328"/>
      <c r="F27" s="122"/>
      <c r="G27" s="328"/>
      <c r="H27" s="333"/>
      <c r="I27" s="328"/>
      <c r="J27" s="122"/>
      <c r="K27" s="328"/>
      <c r="L27" s="332"/>
      <c r="M27" s="328"/>
      <c r="N27" s="122"/>
      <c r="O27" s="18">
        <f t="shared" si="0"/>
        <v>0</v>
      </c>
      <c r="P27" s="122"/>
    </row>
    <row r="28" spans="1:16" s="29" customFormat="1" ht="12.75" customHeight="1">
      <c r="A28" s="49" t="s">
        <v>732</v>
      </c>
      <c r="B28" s="506" t="s">
        <v>520</v>
      </c>
      <c r="C28" s="484">
        <f>Nov20!O28</f>
        <v>0</v>
      </c>
      <c r="D28" s="22">
        <f>Nov20!P28</f>
        <v>0</v>
      </c>
      <c r="E28" s="328"/>
      <c r="F28" s="122"/>
      <c r="G28" s="328"/>
      <c r="H28" s="333"/>
      <c r="I28" s="328"/>
      <c r="J28" s="122"/>
      <c r="K28" s="328"/>
      <c r="L28" s="332"/>
      <c r="M28" s="328"/>
      <c r="N28" s="122"/>
      <c r="O28" s="18">
        <f t="shared" si="0"/>
        <v>0</v>
      </c>
      <c r="P28" s="122"/>
    </row>
    <row r="29" spans="1:16" s="29" customFormat="1" ht="12.75" customHeight="1">
      <c r="A29" s="49" t="s">
        <v>213</v>
      </c>
      <c r="B29" s="506" t="s">
        <v>209</v>
      </c>
      <c r="C29" s="484">
        <f>Nov20!O29</f>
        <v>0</v>
      </c>
      <c r="D29" s="22">
        <f>Nov20!P29</f>
        <v>0</v>
      </c>
      <c r="E29" s="328">
        <v>43000</v>
      </c>
      <c r="F29" s="122">
        <v>30000</v>
      </c>
      <c r="G29" s="328"/>
      <c r="H29" s="332"/>
      <c r="I29" s="328"/>
      <c r="J29" s="122"/>
      <c r="K29" s="328"/>
      <c r="L29" s="332"/>
      <c r="M29" s="328"/>
      <c r="N29" s="122">
        <v>13000</v>
      </c>
      <c r="O29" s="18">
        <f t="shared" si="0"/>
        <v>0</v>
      </c>
      <c r="P29" s="122"/>
    </row>
    <row r="30" spans="1:16" s="29" customFormat="1" ht="12.75" customHeight="1">
      <c r="A30" s="49" t="s">
        <v>201</v>
      </c>
      <c r="B30" s="506" t="s">
        <v>200</v>
      </c>
      <c r="C30" s="484">
        <f>Nov20!O30</f>
        <v>0</v>
      </c>
      <c r="D30" s="22">
        <f>Nov20!P30</f>
        <v>0</v>
      </c>
      <c r="E30" s="328"/>
      <c r="F30" s="122"/>
      <c r="G30" s="328"/>
      <c r="H30" s="332"/>
      <c r="I30" s="328"/>
      <c r="J30" s="122"/>
      <c r="K30" s="328"/>
      <c r="L30" s="332"/>
      <c r="M30" s="328"/>
      <c r="N30" s="122"/>
      <c r="O30" s="18">
        <f t="shared" si="0"/>
        <v>0</v>
      </c>
      <c r="P30" s="122"/>
    </row>
    <row r="31" spans="1:16" s="29" customFormat="1" ht="12.75" customHeight="1">
      <c r="A31" s="49" t="s">
        <v>202</v>
      </c>
      <c r="B31" s="506" t="s">
        <v>203</v>
      </c>
      <c r="C31" s="484">
        <f>Nov20!O31</f>
        <v>0</v>
      </c>
      <c r="D31" s="22">
        <f>Nov20!P31</f>
        <v>0</v>
      </c>
      <c r="E31" s="328">
        <v>10678</v>
      </c>
      <c r="F31" s="122"/>
      <c r="G31" s="328"/>
      <c r="H31" s="332"/>
      <c r="I31" s="328"/>
      <c r="J31" s="122"/>
      <c r="K31" s="328"/>
      <c r="L31" s="332"/>
      <c r="M31" s="328"/>
      <c r="N31" s="122"/>
      <c r="O31" s="18">
        <f t="shared" si="0"/>
        <v>10678</v>
      </c>
      <c r="P31" s="122"/>
    </row>
    <row r="32" spans="1:16" s="29" customFormat="1" ht="12.75">
      <c r="A32" s="49" t="s">
        <v>727</v>
      </c>
      <c r="B32" s="506" t="s">
        <v>728</v>
      </c>
      <c r="C32" s="484">
        <f>Nov20!O32</f>
        <v>4306110.029999999</v>
      </c>
      <c r="D32" s="22">
        <f>Nov20!P32</f>
        <v>0</v>
      </c>
      <c r="E32" s="328"/>
      <c r="F32" s="122"/>
      <c r="G32" s="328"/>
      <c r="H32" s="332"/>
      <c r="I32" s="328"/>
      <c r="J32" s="122"/>
      <c r="K32" s="328"/>
      <c r="L32" s="122">
        <f>1537316.37+103320</f>
        <v>1640636.37</v>
      </c>
      <c r="M32" s="328"/>
      <c r="N32" s="122"/>
      <c r="O32" s="18">
        <f t="shared" si="0"/>
        <v>2665473.659999999</v>
      </c>
      <c r="P32" s="122"/>
    </row>
    <row r="33" spans="1:16" s="29" customFormat="1" ht="12.75">
      <c r="A33" s="49" t="s">
        <v>12</v>
      </c>
      <c r="B33" s="506" t="s">
        <v>111</v>
      </c>
      <c r="C33" s="484">
        <f>Nov20!O33</f>
        <v>1208049.99</v>
      </c>
      <c r="D33" s="22">
        <f>Nov20!P33</f>
        <v>0</v>
      </c>
      <c r="E33" s="328"/>
      <c r="F33" s="122"/>
      <c r="G33" s="328"/>
      <c r="H33" s="122"/>
      <c r="I33" s="328"/>
      <c r="J33" s="122"/>
      <c r="K33" s="328"/>
      <c r="L33" s="122"/>
      <c r="M33" s="328"/>
      <c r="N33" s="122"/>
      <c r="O33" s="18">
        <f t="shared" si="0"/>
        <v>1208049.99</v>
      </c>
      <c r="P33" s="122"/>
    </row>
    <row r="34" spans="1:16" s="29" customFormat="1" ht="12.75">
      <c r="A34" s="49" t="s">
        <v>120</v>
      </c>
      <c r="B34" s="506" t="s">
        <v>112</v>
      </c>
      <c r="C34" s="484">
        <f>Nov20!O34</f>
        <v>0</v>
      </c>
      <c r="D34" s="22">
        <f>Nov20!P34</f>
        <v>364327.7</v>
      </c>
      <c r="E34" s="328"/>
      <c r="F34" s="122"/>
      <c r="G34" s="328"/>
      <c r="H34" s="122"/>
      <c r="I34" s="328"/>
      <c r="J34" s="122"/>
      <c r="K34" s="328"/>
      <c r="L34" s="122"/>
      <c r="M34" s="328"/>
      <c r="N34" s="122">
        <v>229529.5</v>
      </c>
      <c r="O34" s="18"/>
      <c r="P34" s="122">
        <f>D34+F34+J34+N34+H34-E34-G34-I34-M34+L34-K34</f>
        <v>593857.2</v>
      </c>
    </row>
    <row r="35" spans="1:16" s="29" customFormat="1" ht="12.75">
      <c r="A35" s="49" t="s">
        <v>114</v>
      </c>
      <c r="B35" s="506" t="s">
        <v>113</v>
      </c>
      <c r="C35" s="484">
        <f>Nov20!O35</f>
        <v>1702378</v>
      </c>
      <c r="D35" s="22">
        <f>Nov20!P35</f>
        <v>0</v>
      </c>
      <c r="E35" s="328">
        <v>192000</v>
      </c>
      <c r="F35" s="122"/>
      <c r="G35" s="328"/>
      <c r="H35" s="122"/>
      <c r="I35" s="328"/>
      <c r="J35" s="122"/>
      <c r="K35" s="328"/>
      <c r="L35" s="122"/>
      <c r="M35" s="328"/>
      <c r="N35" s="122">
        <f>192000+249380</f>
        <v>441380</v>
      </c>
      <c r="O35" s="18">
        <f t="shared" si="0"/>
        <v>1452998</v>
      </c>
      <c r="P35" s="122"/>
    </row>
    <row r="36" spans="1:16" s="29" customFormat="1" ht="12.75" customHeight="1">
      <c r="A36" s="49" t="s">
        <v>115</v>
      </c>
      <c r="B36" s="506" t="s">
        <v>121</v>
      </c>
      <c r="C36" s="484">
        <f>Nov20!O36</f>
        <v>0</v>
      </c>
      <c r="D36" s="22">
        <f>Nov20!P36</f>
        <v>422310.89</v>
      </c>
      <c r="E36" s="328"/>
      <c r="F36" s="122"/>
      <c r="G36" s="328"/>
      <c r="H36" s="122"/>
      <c r="I36" s="328"/>
      <c r="J36" s="122"/>
      <c r="K36" s="328"/>
      <c r="L36" s="122"/>
      <c r="M36" s="328">
        <v>236911</v>
      </c>
      <c r="N36" s="122">
        <v>160832.09</v>
      </c>
      <c r="O36" s="18"/>
      <c r="P36" s="122">
        <f>D36+F36+J36+N36+H36-E36-G36-I36-M36+L36-K36</f>
        <v>346231.98</v>
      </c>
    </row>
    <row r="37" spans="1:16" s="29" customFormat="1" ht="12.75" customHeight="1">
      <c r="A37" s="49" t="s">
        <v>780</v>
      </c>
      <c r="B37" s="262" t="s">
        <v>778</v>
      </c>
      <c r="C37" s="484">
        <f>Nov20!O37</f>
        <v>42854819</v>
      </c>
      <c r="D37" s="22">
        <f>Nov20!P37</f>
        <v>0</v>
      </c>
      <c r="E37" s="328">
        <v>999800</v>
      </c>
      <c r="F37" s="122"/>
      <c r="G37" s="328"/>
      <c r="H37" s="122"/>
      <c r="I37" s="328"/>
      <c r="J37" s="122"/>
      <c r="K37" s="328"/>
      <c r="L37" s="122"/>
      <c r="M37" s="328"/>
      <c r="N37" s="122"/>
      <c r="O37" s="18">
        <f t="shared" si="0"/>
        <v>43854619</v>
      </c>
      <c r="P37" s="122"/>
    </row>
    <row r="38" spans="1:16" s="29" customFormat="1" ht="12.75" customHeight="1">
      <c r="A38" s="49" t="s">
        <v>781</v>
      </c>
      <c r="B38" s="262" t="s">
        <v>779</v>
      </c>
      <c r="C38" s="484">
        <f>Nov20!O38</f>
        <v>0</v>
      </c>
      <c r="D38" s="22">
        <f>Nov20!P38</f>
        <v>663087.81</v>
      </c>
      <c r="E38" s="328"/>
      <c r="F38" s="122"/>
      <c r="G38" s="328"/>
      <c r="H38" s="122"/>
      <c r="I38" s="328"/>
      <c r="J38" s="122"/>
      <c r="K38" s="328"/>
      <c r="L38" s="122"/>
      <c r="M38" s="328"/>
      <c r="N38" s="122">
        <v>117688.95</v>
      </c>
      <c r="O38" s="18"/>
      <c r="P38" s="122">
        <f>D38+F38+J38+N38+H38-E38-G38-I38-M38+L38-K38</f>
        <v>780776.76</v>
      </c>
    </row>
    <row r="39" spans="1:16" s="29" customFormat="1" ht="12.75" customHeight="1">
      <c r="A39" s="49" t="s">
        <v>782</v>
      </c>
      <c r="B39" s="262" t="s">
        <v>783</v>
      </c>
      <c r="C39" s="484">
        <f>Nov20!O39</f>
        <v>968000</v>
      </c>
      <c r="D39" s="22">
        <f>Nov20!P39</f>
        <v>0</v>
      </c>
      <c r="E39" s="328"/>
      <c r="F39" s="122"/>
      <c r="G39" s="328"/>
      <c r="H39" s="122"/>
      <c r="I39" s="328"/>
      <c r="J39" s="122"/>
      <c r="K39" s="328"/>
      <c r="L39" s="122"/>
      <c r="M39" s="328"/>
      <c r="N39" s="122"/>
      <c r="O39" s="18">
        <f t="shared" si="0"/>
        <v>968000</v>
      </c>
      <c r="P39" s="122"/>
    </row>
    <row r="40" spans="1:16" s="29" customFormat="1" ht="12.75" customHeight="1">
      <c r="A40" s="49" t="s">
        <v>784</v>
      </c>
      <c r="B40" s="262" t="s">
        <v>785</v>
      </c>
      <c r="C40" s="484">
        <f>Nov20!O40</f>
        <v>0</v>
      </c>
      <c r="D40" s="22">
        <f>Nov20!P40</f>
        <v>0</v>
      </c>
      <c r="E40" s="328"/>
      <c r="F40" s="122"/>
      <c r="G40" s="328"/>
      <c r="H40" s="122"/>
      <c r="I40" s="328"/>
      <c r="J40" s="122"/>
      <c r="K40" s="328"/>
      <c r="L40" s="122"/>
      <c r="M40" s="328"/>
      <c r="N40" s="122">
        <v>7260</v>
      </c>
      <c r="O40" s="18"/>
      <c r="P40" s="122">
        <f>D40+F40+J40+N40+H40-E40-G40-I40-M40+L40-K40</f>
        <v>7260</v>
      </c>
    </row>
    <row r="41" spans="1:16" s="29" customFormat="1" ht="12.75" customHeight="1">
      <c r="A41" s="49" t="s">
        <v>786</v>
      </c>
      <c r="B41" s="262" t="s">
        <v>788</v>
      </c>
      <c r="C41" s="484">
        <f>Nov20!O41</f>
        <v>2383848.55</v>
      </c>
      <c r="D41" s="22">
        <f>Nov20!P41</f>
        <v>0</v>
      </c>
      <c r="E41" s="328">
        <v>997980.86</v>
      </c>
      <c r="F41" s="122"/>
      <c r="G41" s="328"/>
      <c r="H41" s="122"/>
      <c r="I41" s="328"/>
      <c r="J41" s="122"/>
      <c r="K41" s="328"/>
      <c r="L41" s="122"/>
      <c r="M41" s="328"/>
      <c r="N41" s="122"/>
      <c r="O41" s="18">
        <f t="shared" si="0"/>
        <v>3381829.4099999997</v>
      </c>
      <c r="P41" s="122"/>
    </row>
    <row r="42" spans="1:16" s="29" customFormat="1" ht="12.75" customHeight="1">
      <c r="A42" s="49" t="s">
        <v>787</v>
      </c>
      <c r="B42" s="262" t="s">
        <v>789</v>
      </c>
      <c r="C42" s="484">
        <f>Nov20!O42</f>
        <v>0</v>
      </c>
      <c r="D42" s="22">
        <f>Nov20!P42</f>
        <v>8939.43</v>
      </c>
      <c r="E42" s="328"/>
      <c r="F42" s="122"/>
      <c r="G42" s="328"/>
      <c r="H42" s="122"/>
      <c r="I42" s="328"/>
      <c r="J42" s="122"/>
      <c r="K42" s="328"/>
      <c r="L42" s="122"/>
      <c r="M42" s="328"/>
      <c r="N42" s="122">
        <v>12734.92</v>
      </c>
      <c r="O42" s="18"/>
      <c r="P42" s="122">
        <f>D42+F42+J42+N42+H42-E42-G42-I42-M42+L42-K42</f>
        <v>21674.35</v>
      </c>
    </row>
    <row r="43" spans="1:16" s="29" customFormat="1" ht="12.75" customHeight="1">
      <c r="A43" s="49" t="s">
        <v>530</v>
      </c>
      <c r="B43" s="506" t="s">
        <v>533</v>
      </c>
      <c r="C43" s="484">
        <f>Nov20!O43</f>
        <v>120122</v>
      </c>
      <c r="D43" s="22">
        <f>Nov20!P43</f>
        <v>0</v>
      </c>
      <c r="E43" s="328"/>
      <c r="F43" s="122"/>
      <c r="G43" s="328"/>
      <c r="H43" s="122"/>
      <c r="I43" s="328"/>
      <c r="J43" s="122"/>
      <c r="K43" s="328"/>
      <c r="L43" s="122"/>
      <c r="M43" s="328"/>
      <c r="N43" s="122"/>
      <c r="O43" s="18">
        <f t="shared" si="0"/>
        <v>120122</v>
      </c>
      <c r="P43" s="122"/>
    </row>
    <row r="44" spans="1:16" s="29" customFormat="1" ht="12.75">
      <c r="A44" s="49" t="s">
        <v>531</v>
      </c>
      <c r="B44" s="506" t="s">
        <v>532</v>
      </c>
      <c r="C44" s="484">
        <f>Nov20!O44</f>
        <v>0</v>
      </c>
      <c r="D44" s="22">
        <f>Nov20!P44</f>
        <v>9647.73</v>
      </c>
      <c r="E44" s="328"/>
      <c r="F44" s="122"/>
      <c r="G44" s="328"/>
      <c r="H44" s="122"/>
      <c r="I44" s="328"/>
      <c r="J44" s="122"/>
      <c r="K44" s="328"/>
      <c r="L44" s="122"/>
      <c r="M44" s="328"/>
      <c r="N44" s="122">
        <v>5117.84</v>
      </c>
      <c r="O44" s="18"/>
      <c r="P44" s="122">
        <f>D44+F44+J44+N44+H44-E44-G44-I44-M44+L44-K44</f>
        <v>14765.57</v>
      </c>
    </row>
    <row r="45" spans="1:16" s="29" customFormat="1" ht="12.75">
      <c r="A45" s="49" t="s">
        <v>128</v>
      </c>
      <c r="B45" s="506" t="s">
        <v>130</v>
      </c>
      <c r="C45" s="484">
        <f>Nov20!O45</f>
        <v>545970</v>
      </c>
      <c r="D45" s="22">
        <f>Nov20!P45</f>
        <v>0</v>
      </c>
      <c r="E45" s="328"/>
      <c r="F45" s="122"/>
      <c r="G45" s="328"/>
      <c r="H45" s="122"/>
      <c r="I45" s="328"/>
      <c r="J45" s="122"/>
      <c r="K45" s="328"/>
      <c r="L45" s="122"/>
      <c r="M45" s="328"/>
      <c r="N45" s="122">
        <v>176970</v>
      </c>
      <c r="O45" s="18">
        <f t="shared" si="0"/>
        <v>369000</v>
      </c>
      <c r="P45" s="122"/>
    </row>
    <row r="46" spans="1:16" s="29" customFormat="1" ht="12.75">
      <c r="A46" s="49" t="s">
        <v>129</v>
      </c>
      <c r="B46" s="506" t="s">
        <v>131</v>
      </c>
      <c r="C46" s="484">
        <f>Nov20!O46</f>
        <v>0</v>
      </c>
      <c r="D46" s="22">
        <f>Nov20!P46</f>
        <v>370243.56</v>
      </c>
      <c r="E46" s="328"/>
      <c r="F46" s="122"/>
      <c r="G46" s="328"/>
      <c r="H46" s="122"/>
      <c r="I46" s="328"/>
      <c r="J46" s="122"/>
      <c r="K46" s="328"/>
      <c r="L46" s="122"/>
      <c r="M46" s="328">
        <v>168121.5</v>
      </c>
      <c r="N46" s="122">
        <v>47947.91</v>
      </c>
      <c r="O46" s="18"/>
      <c r="P46" s="122">
        <f>D46+F46+J46+N46+H46-E46-G46-I46-M46+L46-K46</f>
        <v>250069.96999999997</v>
      </c>
    </row>
    <row r="47" spans="1:16" s="29" customFormat="1" ht="12.75">
      <c r="A47" s="49" t="s">
        <v>41</v>
      </c>
      <c r="B47" s="506" t="s">
        <v>126</v>
      </c>
      <c r="C47" s="484">
        <f>Nov20!O47</f>
        <v>2391000</v>
      </c>
      <c r="D47" s="22">
        <f>Nov20!P47</f>
        <v>0</v>
      </c>
      <c r="E47" s="328"/>
      <c r="F47" s="122"/>
      <c r="G47" s="328"/>
      <c r="H47" s="122"/>
      <c r="I47" s="328"/>
      <c r="J47" s="122"/>
      <c r="K47" s="328"/>
      <c r="L47" s="122"/>
      <c r="M47" s="328"/>
      <c r="N47" s="122"/>
      <c r="O47" s="18">
        <f t="shared" si="0"/>
        <v>2391000</v>
      </c>
      <c r="P47" s="122"/>
    </row>
    <row r="48" spans="1:16" s="29" customFormat="1" ht="12.75">
      <c r="A48" s="49" t="s">
        <v>42</v>
      </c>
      <c r="B48" s="506" t="s">
        <v>127</v>
      </c>
      <c r="C48" s="484">
        <f>Nov20!O48</f>
        <v>0</v>
      </c>
      <c r="D48" s="22">
        <f>Nov20!P48</f>
        <v>854100</v>
      </c>
      <c r="E48" s="328"/>
      <c r="F48" s="122"/>
      <c r="G48" s="328"/>
      <c r="H48" s="122"/>
      <c r="I48" s="328"/>
      <c r="J48" s="122"/>
      <c r="K48" s="328"/>
      <c r="L48" s="122"/>
      <c r="M48" s="328"/>
      <c r="N48" s="122">
        <v>125574.17</v>
      </c>
      <c r="O48" s="18"/>
      <c r="P48" s="122">
        <f>D48+F48+J48+N48+H48-E48-G48-I48-M48+L48-K48</f>
        <v>979674.17</v>
      </c>
    </row>
    <row r="49" spans="1:16" s="29" customFormat="1" ht="12.75">
      <c r="A49" s="49" t="s">
        <v>13</v>
      </c>
      <c r="B49" s="506" t="s">
        <v>118</v>
      </c>
      <c r="C49" s="484">
        <f>Nov20!O49</f>
        <v>631727.2</v>
      </c>
      <c r="D49" s="22">
        <f>Nov20!P49</f>
        <v>0</v>
      </c>
      <c r="E49" s="328"/>
      <c r="F49" s="122"/>
      <c r="G49" s="328"/>
      <c r="H49" s="122"/>
      <c r="I49" s="328"/>
      <c r="J49" s="122"/>
      <c r="K49" s="328"/>
      <c r="L49" s="122"/>
      <c r="M49" s="328"/>
      <c r="N49" s="122">
        <v>23520</v>
      </c>
      <c r="O49" s="18">
        <f t="shared" si="0"/>
        <v>608207.2</v>
      </c>
      <c r="P49" s="122"/>
    </row>
    <row r="50" spans="1:17" s="29" customFormat="1" ht="12.75">
      <c r="A50" s="49" t="s">
        <v>14</v>
      </c>
      <c r="B50" s="506" t="s">
        <v>119</v>
      </c>
      <c r="C50" s="484">
        <f>Nov20!O50</f>
        <v>0</v>
      </c>
      <c r="D50" s="22">
        <f>Nov20!P50</f>
        <v>319092.84</v>
      </c>
      <c r="E50" s="328"/>
      <c r="F50" s="122"/>
      <c r="G50" s="328"/>
      <c r="H50" s="122"/>
      <c r="I50" s="328"/>
      <c r="J50" s="122"/>
      <c r="K50" s="328"/>
      <c r="L50" s="122"/>
      <c r="M50" s="328">
        <v>22344</v>
      </c>
      <c r="N50" s="122">
        <v>58222.23</v>
      </c>
      <c r="O50" s="18"/>
      <c r="P50" s="122">
        <f>D50+F50+J50+N50+H50-E50-G50-I50-M50+L50-K50</f>
        <v>354971.07</v>
      </c>
      <c r="Q50" s="55"/>
    </row>
    <row r="51" spans="1:17" s="29" customFormat="1" ht="12.75" customHeight="1">
      <c r="A51" s="49" t="s">
        <v>680</v>
      </c>
      <c r="B51" s="506" t="s">
        <v>681</v>
      </c>
      <c r="C51" s="484">
        <f>Nov20!O51</f>
        <v>0</v>
      </c>
      <c r="D51" s="22">
        <f>Nov20!P51</f>
        <v>0</v>
      </c>
      <c r="E51" s="328"/>
      <c r="F51" s="122"/>
      <c r="G51" s="328"/>
      <c r="H51" s="122"/>
      <c r="I51" s="328"/>
      <c r="J51" s="122"/>
      <c r="K51" s="328"/>
      <c r="L51" s="122"/>
      <c r="M51" s="328"/>
      <c r="N51" s="122"/>
      <c r="O51" s="18">
        <f t="shared" si="0"/>
        <v>0</v>
      </c>
      <c r="P51" s="122"/>
      <c r="Q51" s="55"/>
    </row>
    <row r="52" spans="1:17" s="29" customFormat="1" ht="12.75" customHeight="1">
      <c r="A52" s="49" t="s">
        <v>683</v>
      </c>
      <c r="B52" s="506" t="s">
        <v>682</v>
      </c>
      <c r="C52" s="484">
        <f>Nov20!O52</f>
        <v>0</v>
      </c>
      <c r="D52" s="22">
        <f>Nov20!P52</f>
        <v>0</v>
      </c>
      <c r="E52" s="328"/>
      <c r="F52" s="122"/>
      <c r="G52" s="328"/>
      <c r="H52" s="122"/>
      <c r="I52" s="328"/>
      <c r="J52" s="122"/>
      <c r="K52" s="328"/>
      <c r="L52" s="122"/>
      <c r="M52" s="328"/>
      <c r="N52" s="122"/>
      <c r="O52" s="18"/>
      <c r="P52" s="122">
        <f>D52+F52+J52+N52+H52-E52-G52-I52-M52+L52-K52</f>
        <v>0</v>
      </c>
      <c r="Q52" s="55"/>
    </row>
    <row r="53" spans="1:16" s="29" customFormat="1" ht="12.75">
      <c r="A53" s="49" t="s">
        <v>559</v>
      </c>
      <c r="B53" s="506" t="s">
        <v>558</v>
      </c>
      <c r="C53" s="484">
        <f>Nov20!O53</f>
        <v>0</v>
      </c>
      <c r="D53" s="22">
        <f>Nov20!P53</f>
        <v>0</v>
      </c>
      <c r="E53" s="328"/>
      <c r="F53" s="122"/>
      <c r="G53" s="328"/>
      <c r="H53" s="122"/>
      <c r="I53" s="328"/>
      <c r="J53" s="122"/>
      <c r="K53" s="328"/>
      <c r="L53" s="122"/>
      <c r="M53" s="328"/>
      <c r="N53" s="122"/>
      <c r="O53" s="18">
        <f t="shared" si="0"/>
        <v>0</v>
      </c>
      <c r="P53" s="122"/>
    </row>
    <row r="54" spans="1:16" s="29" customFormat="1" ht="12.75">
      <c r="A54" s="54" t="s">
        <v>15</v>
      </c>
      <c r="B54" s="506" t="s">
        <v>132</v>
      </c>
      <c r="C54" s="484">
        <f>Nov20!O54</f>
        <v>327763.39</v>
      </c>
      <c r="D54" s="22">
        <f>Nov20!P54</f>
        <v>0</v>
      </c>
      <c r="E54" s="328"/>
      <c r="F54" s="122"/>
      <c r="G54" s="328"/>
      <c r="H54" s="122"/>
      <c r="I54" s="328"/>
      <c r="J54" s="122"/>
      <c r="K54" s="328"/>
      <c r="L54" s="122"/>
      <c r="M54" s="328">
        <f>12469+8848.5+1176</f>
        <v>22493.5</v>
      </c>
      <c r="N54" s="122"/>
      <c r="O54" s="18">
        <f t="shared" si="0"/>
        <v>350256.89</v>
      </c>
      <c r="P54" s="122"/>
    </row>
    <row r="55" spans="1:17" s="29" customFormat="1" ht="12.75">
      <c r="A55" s="8"/>
      <c r="B55" s="508"/>
      <c r="C55" s="484">
        <f>Nov20!O55</f>
        <v>0</v>
      </c>
      <c r="D55" s="22">
        <f>Nov20!P55</f>
        <v>0</v>
      </c>
      <c r="E55" s="328"/>
      <c r="F55" s="122"/>
      <c r="G55" s="328"/>
      <c r="H55" s="122"/>
      <c r="I55" s="328"/>
      <c r="J55" s="122"/>
      <c r="K55" s="328"/>
      <c r="L55" s="122"/>
      <c r="M55" s="328"/>
      <c r="N55" s="122"/>
      <c r="O55" s="18"/>
      <c r="P55" s="122"/>
      <c r="Q55" s="55"/>
    </row>
    <row r="56" spans="1:17" s="29" customFormat="1" ht="12.75">
      <c r="A56" s="7" t="s">
        <v>16</v>
      </c>
      <c r="B56" s="508"/>
      <c r="C56" s="484">
        <f>Nov20!O56</f>
        <v>0</v>
      </c>
      <c r="D56" s="22">
        <f>Nov20!P56</f>
        <v>0</v>
      </c>
      <c r="E56" s="328"/>
      <c r="F56" s="122"/>
      <c r="G56" s="328"/>
      <c r="H56" s="122"/>
      <c r="I56" s="328"/>
      <c r="J56" s="122"/>
      <c r="K56" s="328"/>
      <c r="L56" s="122"/>
      <c r="M56" s="328"/>
      <c r="N56" s="122"/>
      <c r="O56" s="18"/>
      <c r="P56" s="122"/>
      <c r="Q56" s="55"/>
    </row>
    <row r="57" spans="1:17" s="29" customFormat="1" ht="12.75">
      <c r="A57" s="49" t="s">
        <v>31</v>
      </c>
      <c r="B57" s="506" t="s">
        <v>133</v>
      </c>
      <c r="C57" s="484">
        <f>Nov20!O57</f>
        <v>0</v>
      </c>
      <c r="D57" s="22">
        <f>Nov20!P57</f>
        <v>35250</v>
      </c>
      <c r="E57" s="328"/>
      <c r="F57" s="122"/>
      <c r="G57" s="328"/>
      <c r="H57" s="122"/>
      <c r="I57" s="328"/>
      <c r="J57" s="122"/>
      <c r="K57" s="328"/>
      <c r="L57" s="122"/>
      <c r="M57" s="328"/>
      <c r="N57" s="122"/>
      <c r="O57" s="18"/>
      <c r="P57" s="122">
        <f aca="true" t="shared" si="1" ref="P57:P66">D57+F57+J57+N57+H57-E57-G57-I57-M57+L57-K57</f>
        <v>35250</v>
      </c>
      <c r="Q57" s="55"/>
    </row>
    <row r="58" spans="1:17" s="29" customFormat="1" ht="12.75">
      <c r="A58" s="49" t="s">
        <v>46</v>
      </c>
      <c r="B58" s="506" t="s">
        <v>134</v>
      </c>
      <c r="C58" s="484">
        <f>Nov20!O58</f>
        <v>0</v>
      </c>
      <c r="D58" s="22">
        <f>Nov20!P58</f>
        <v>304349.37999999995</v>
      </c>
      <c r="E58" s="328"/>
      <c r="F58" s="122">
        <v>561413.67</v>
      </c>
      <c r="G58" s="328"/>
      <c r="H58" s="122"/>
      <c r="I58" s="328"/>
      <c r="J58" s="122"/>
      <c r="K58" s="328"/>
      <c r="L58" s="122"/>
      <c r="M58" s="328">
        <v>304349.38</v>
      </c>
      <c r="N58" s="122"/>
      <c r="O58" s="18"/>
      <c r="P58" s="122">
        <f t="shared" si="1"/>
        <v>561413.67</v>
      </c>
      <c r="Q58" s="55"/>
    </row>
    <row r="59" spans="1:16" s="29" customFormat="1" ht="12.75">
      <c r="A59" s="74" t="s">
        <v>685</v>
      </c>
      <c r="B59" s="507" t="s">
        <v>684</v>
      </c>
      <c r="C59" s="484">
        <f>Nov20!O59</f>
        <v>0</v>
      </c>
      <c r="D59" s="22">
        <f>Nov20!P59</f>
        <v>692792.43</v>
      </c>
      <c r="E59" s="328">
        <v>181218.6</v>
      </c>
      <c r="F59" s="122">
        <v>100197.09</v>
      </c>
      <c r="G59" s="328"/>
      <c r="H59" s="122"/>
      <c r="I59" s="328"/>
      <c r="J59" s="122"/>
      <c r="K59" s="328"/>
      <c r="L59" s="122"/>
      <c r="M59" s="328"/>
      <c r="N59" s="122"/>
      <c r="O59" s="18"/>
      <c r="P59" s="122">
        <f t="shared" si="1"/>
        <v>611770.92</v>
      </c>
    </row>
    <row r="60" spans="1:16" s="29" customFormat="1" ht="12.75">
      <c r="A60" s="74" t="s">
        <v>686</v>
      </c>
      <c r="B60" s="507" t="s">
        <v>688</v>
      </c>
      <c r="C60" s="484">
        <f>Nov20!O60</f>
        <v>0</v>
      </c>
      <c r="D60" s="22">
        <f>Nov20!P60</f>
        <v>10448.259999999951</v>
      </c>
      <c r="E60" s="328"/>
      <c r="F60" s="122"/>
      <c r="G60" s="328"/>
      <c r="H60" s="122"/>
      <c r="I60" s="328"/>
      <c r="J60" s="122"/>
      <c r="K60" s="328"/>
      <c r="L60" s="122"/>
      <c r="M60" s="328"/>
      <c r="N60" s="122"/>
      <c r="O60" s="18"/>
      <c r="P60" s="122">
        <f t="shared" si="1"/>
        <v>10448.259999999951</v>
      </c>
    </row>
    <row r="61" spans="1:17" s="29" customFormat="1" ht="12.75">
      <c r="A61" s="74" t="s">
        <v>687</v>
      </c>
      <c r="B61" s="507" t="s">
        <v>689</v>
      </c>
      <c r="C61" s="484">
        <f>Nov20!O61</f>
        <v>0</v>
      </c>
      <c r="D61" s="22">
        <f>Nov20!P61</f>
        <v>11777.859999999993</v>
      </c>
      <c r="E61" s="328"/>
      <c r="F61" s="122"/>
      <c r="G61" s="328"/>
      <c r="H61" s="122"/>
      <c r="I61" s="328"/>
      <c r="J61" s="122"/>
      <c r="K61" s="328"/>
      <c r="L61" s="122"/>
      <c r="M61" s="328"/>
      <c r="N61" s="122"/>
      <c r="O61" s="18"/>
      <c r="P61" s="122">
        <f t="shared" si="1"/>
        <v>11777.859999999993</v>
      </c>
      <c r="Q61" s="55"/>
    </row>
    <row r="62" spans="1:16" s="29" customFormat="1" ht="12.75">
      <c r="A62" s="49" t="s">
        <v>690</v>
      </c>
      <c r="B62" s="506" t="s">
        <v>692</v>
      </c>
      <c r="C62" s="484">
        <f>Nov20!O62</f>
        <v>0</v>
      </c>
      <c r="D62" s="22">
        <f>Nov20!P62</f>
        <v>8711.039999999999</v>
      </c>
      <c r="E62" s="328">
        <v>6169.36</v>
      </c>
      <c r="F62" s="122">
        <v>3084.68</v>
      </c>
      <c r="G62" s="328"/>
      <c r="H62" s="122"/>
      <c r="I62" s="328"/>
      <c r="J62" s="122"/>
      <c r="K62" s="328"/>
      <c r="L62" s="122"/>
      <c r="M62" s="328"/>
      <c r="N62" s="122"/>
      <c r="O62" s="18"/>
      <c r="P62" s="122">
        <f t="shared" si="1"/>
        <v>5626.36</v>
      </c>
    </row>
    <row r="63" spans="1:16" s="29" customFormat="1" ht="12.75">
      <c r="A63" s="49" t="s">
        <v>691</v>
      </c>
      <c r="B63" s="506" t="s">
        <v>693</v>
      </c>
      <c r="C63" s="484">
        <f>Nov20!O63</f>
        <v>0</v>
      </c>
      <c r="D63" s="22">
        <f>Nov20!P63</f>
        <v>2603.12</v>
      </c>
      <c r="E63" s="328">
        <v>1036.9</v>
      </c>
      <c r="F63" s="122">
        <v>518.45</v>
      </c>
      <c r="G63" s="328"/>
      <c r="H63" s="122"/>
      <c r="I63" s="328"/>
      <c r="J63" s="122"/>
      <c r="K63" s="328"/>
      <c r="L63" s="122"/>
      <c r="M63" s="328"/>
      <c r="N63" s="122"/>
      <c r="O63" s="18"/>
      <c r="P63" s="122">
        <f t="shared" si="1"/>
        <v>2084.6699999999996</v>
      </c>
    </row>
    <row r="64" spans="1:17" s="29" customFormat="1" ht="12.75">
      <c r="A64" s="49" t="s">
        <v>47</v>
      </c>
      <c r="B64" s="506" t="s">
        <v>137</v>
      </c>
      <c r="C64" s="484">
        <f>Nov20!O64</f>
        <v>0</v>
      </c>
      <c r="D64" s="22">
        <f>Nov20!P64</f>
        <v>29431.360000000008</v>
      </c>
      <c r="E64" s="328">
        <v>25515.06</v>
      </c>
      <c r="F64" s="122">
        <v>12819.5</v>
      </c>
      <c r="G64" s="328"/>
      <c r="H64" s="122"/>
      <c r="I64" s="328"/>
      <c r="J64" s="122"/>
      <c r="K64" s="328"/>
      <c r="L64" s="122"/>
      <c r="M64" s="328"/>
      <c r="N64" s="328"/>
      <c r="O64" s="18"/>
      <c r="P64" s="122">
        <f t="shared" si="1"/>
        <v>16735.800000000007</v>
      </c>
      <c r="Q64" s="108"/>
    </row>
    <row r="65" spans="1:17" s="29" customFormat="1" ht="12.75">
      <c r="A65" s="74" t="s">
        <v>59</v>
      </c>
      <c r="B65" s="507" t="s">
        <v>138</v>
      </c>
      <c r="C65" s="484">
        <f>Nov20!O65</f>
        <v>0</v>
      </c>
      <c r="D65" s="22">
        <f>Nov20!P65</f>
        <v>44500.11000000005</v>
      </c>
      <c r="E65" s="328">
        <v>84944.8</v>
      </c>
      <c r="F65" s="122">
        <v>72900.36</v>
      </c>
      <c r="G65" s="328"/>
      <c r="H65" s="122"/>
      <c r="I65" s="328"/>
      <c r="J65" s="122"/>
      <c r="K65" s="328"/>
      <c r="L65" s="122"/>
      <c r="M65" s="328"/>
      <c r="N65" s="122"/>
      <c r="O65" s="18"/>
      <c r="P65" s="122">
        <f t="shared" si="1"/>
        <v>32455.670000000056</v>
      </c>
      <c r="Q65" s="108"/>
    </row>
    <row r="66" spans="1:17" s="29" customFormat="1" ht="12.75">
      <c r="A66" s="49" t="s">
        <v>17</v>
      </c>
      <c r="B66" s="506" t="s">
        <v>139</v>
      </c>
      <c r="C66" s="484">
        <f>Nov20!O66</f>
        <v>0</v>
      </c>
      <c r="D66" s="22">
        <f>Nov20!P66</f>
        <v>0</v>
      </c>
      <c r="E66" s="326"/>
      <c r="F66" s="62"/>
      <c r="G66" s="326"/>
      <c r="H66" s="62"/>
      <c r="I66" s="326"/>
      <c r="J66" s="62"/>
      <c r="K66" s="326"/>
      <c r="L66" s="62">
        <f>157046.4+312480</f>
        <v>469526.4</v>
      </c>
      <c r="M66" s="326"/>
      <c r="N66" s="62"/>
      <c r="O66" s="18"/>
      <c r="P66" s="122">
        <f t="shared" si="1"/>
        <v>469526.4</v>
      </c>
      <c r="Q66" s="108"/>
    </row>
    <row r="67" spans="1:17" s="29" customFormat="1" ht="12.75">
      <c r="A67" s="8"/>
      <c r="B67" s="508"/>
      <c r="C67" s="484">
        <f>Nov20!O67</f>
        <v>0</v>
      </c>
      <c r="D67" s="22">
        <f>Nov20!P67</f>
        <v>0</v>
      </c>
      <c r="E67" s="326"/>
      <c r="F67" s="62"/>
      <c r="G67" s="326"/>
      <c r="H67" s="62"/>
      <c r="I67" s="326"/>
      <c r="J67" s="62"/>
      <c r="K67" s="326"/>
      <c r="L67" s="62"/>
      <c r="M67" s="326"/>
      <c r="N67" s="62"/>
      <c r="O67" s="18"/>
      <c r="P67" s="62"/>
      <c r="Q67" s="108"/>
    </row>
    <row r="68" spans="1:17" s="29" customFormat="1" ht="12.75">
      <c r="A68" s="7" t="s">
        <v>32</v>
      </c>
      <c r="B68" s="508"/>
      <c r="C68" s="484">
        <f>Nov20!O68</f>
        <v>0</v>
      </c>
      <c r="D68" s="22">
        <f>Nov20!P68</f>
        <v>0</v>
      </c>
      <c r="E68" s="326"/>
      <c r="F68" s="62"/>
      <c r="G68" s="326"/>
      <c r="H68" s="62"/>
      <c r="I68" s="326"/>
      <c r="J68" s="62"/>
      <c r="K68" s="326"/>
      <c r="L68" s="62"/>
      <c r="M68" s="326"/>
      <c r="N68" s="62"/>
      <c r="O68" s="18"/>
      <c r="P68" s="62"/>
      <c r="Q68" s="108"/>
    </row>
    <row r="69" spans="1:17" s="29" customFormat="1" ht="12.75">
      <c r="A69" s="49" t="s">
        <v>18</v>
      </c>
      <c r="B69" s="506" t="s">
        <v>140</v>
      </c>
      <c r="C69" s="484">
        <f>Nov20!O69</f>
        <v>0</v>
      </c>
      <c r="D69" s="22">
        <f>Nov20!P69</f>
        <v>93682852.88</v>
      </c>
      <c r="E69" s="326"/>
      <c r="F69" s="62"/>
      <c r="G69" s="326"/>
      <c r="H69" s="62"/>
      <c r="I69" s="326"/>
      <c r="J69" s="62"/>
      <c r="K69" s="326"/>
      <c r="L69" s="62"/>
      <c r="M69" s="326"/>
      <c r="N69" s="62"/>
      <c r="O69" s="18"/>
      <c r="P69" s="122">
        <f>D69+F69+J69+N69+H69-E69-G69-I69-M69+L69-K69</f>
        <v>93682852.88</v>
      </c>
      <c r="Q69" s="108"/>
    </row>
    <row r="70" spans="1:17" s="29" customFormat="1" ht="13.5" customHeight="1">
      <c r="A70" s="49" t="s">
        <v>142</v>
      </c>
      <c r="B70" s="508" t="s">
        <v>141</v>
      </c>
      <c r="C70" s="484">
        <f>Nov20!O70</f>
        <v>0</v>
      </c>
      <c r="D70" s="22">
        <f>Nov20!P70</f>
        <v>122268952.32</v>
      </c>
      <c r="E70" s="326"/>
      <c r="F70" s="62"/>
      <c r="G70" s="326"/>
      <c r="H70" s="62"/>
      <c r="I70" s="326"/>
      <c r="J70" s="62"/>
      <c r="K70" s="326"/>
      <c r="L70" s="62"/>
      <c r="M70" s="326"/>
      <c r="N70" s="62">
        <v>304349.38</v>
      </c>
      <c r="O70" s="18"/>
      <c r="P70" s="122">
        <f>D70+F70+J70+N70+H70-E70-G70-I70-M70+L70-K70</f>
        <v>122573301.69999999</v>
      </c>
      <c r="Q70" s="108"/>
    </row>
    <row r="71" spans="1:17" s="29" customFormat="1" ht="13.5" customHeight="1">
      <c r="A71" s="49" t="s">
        <v>673</v>
      </c>
      <c r="B71" s="249" t="s">
        <v>745</v>
      </c>
      <c r="C71" s="484">
        <f>Nov20!O71</f>
        <v>0</v>
      </c>
      <c r="D71" s="22">
        <f>Nov20!P71</f>
        <v>83393320.24</v>
      </c>
      <c r="E71" s="326"/>
      <c r="F71" s="62"/>
      <c r="G71" s="326"/>
      <c r="H71" s="62"/>
      <c r="I71" s="326"/>
      <c r="J71" s="62"/>
      <c r="K71" s="326"/>
      <c r="L71" s="62"/>
      <c r="M71" s="326"/>
      <c r="N71" s="328">
        <f>116927.18+482816.84+2088826+20875297.4+9000+97273+7860932.6</f>
        <v>31531073.019999996</v>
      </c>
      <c r="O71" s="18"/>
      <c r="P71" s="122">
        <f>D71+F71+J71+N71+H71-E71-G71-I71-M71+L71-K71</f>
        <v>114924393.25999999</v>
      </c>
      <c r="Q71" s="532"/>
    </row>
    <row r="72" spans="1:17" s="29" customFormat="1" ht="12.75" customHeight="1">
      <c r="A72" s="49"/>
      <c r="B72" s="508"/>
      <c r="C72" s="484">
        <f>Nov20!O72</f>
        <v>0</v>
      </c>
      <c r="D72" s="22">
        <f>Nov20!P72</f>
        <v>0</v>
      </c>
      <c r="E72" s="326"/>
      <c r="F72" s="62"/>
      <c r="G72" s="326"/>
      <c r="H72" s="62"/>
      <c r="I72" s="326"/>
      <c r="J72" s="62"/>
      <c r="K72" s="326"/>
      <c r="L72" s="62"/>
      <c r="M72" s="326"/>
      <c r="N72" s="62"/>
      <c r="O72" s="18"/>
      <c r="P72" s="62"/>
      <c r="Q72" s="108"/>
    </row>
    <row r="73" spans="1:17" s="29" customFormat="1" ht="12.75">
      <c r="A73" s="4" t="s">
        <v>19</v>
      </c>
      <c r="B73" s="509"/>
      <c r="C73" s="484">
        <f>Nov20!O73</f>
        <v>0</v>
      </c>
      <c r="D73" s="22">
        <f>Nov20!P73</f>
        <v>0</v>
      </c>
      <c r="E73" s="326"/>
      <c r="F73" s="62"/>
      <c r="G73" s="326"/>
      <c r="H73" s="62"/>
      <c r="I73" s="326"/>
      <c r="J73" s="62"/>
      <c r="K73" s="326"/>
      <c r="L73" s="62"/>
      <c r="M73" s="326"/>
      <c r="N73" s="62"/>
      <c r="O73" s="18"/>
      <c r="P73" s="62"/>
      <c r="Q73" s="108"/>
    </row>
    <row r="74" spans="1:17" s="29" customFormat="1" ht="12.75">
      <c r="A74" s="23" t="s">
        <v>143</v>
      </c>
      <c r="B74" s="250" t="s">
        <v>144</v>
      </c>
      <c r="C74" s="484">
        <f>Nov20!O74</f>
        <v>13309971.959999997</v>
      </c>
      <c r="D74" s="22">
        <f>Nov20!P74</f>
        <v>0</v>
      </c>
      <c r="E74" s="326">
        <v>1115934.04</v>
      </c>
      <c r="F74" s="62"/>
      <c r="G74" s="326"/>
      <c r="H74" s="62"/>
      <c r="I74" s="326"/>
      <c r="J74" s="62"/>
      <c r="K74" s="326"/>
      <c r="L74" s="62"/>
      <c r="M74" s="326"/>
      <c r="N74" s="62"/>
      <c r="O74" s="18">
        <f t="shared" si="0"/>
        <v>14425905.999999996</v>
      </c>
      <c r="P74" s="62"/>
      <c r="Q74" s="108"/>
    </row>
    <row r="75" spans="1:17" s="29" customFormat="1" ht="12.75">
      <c r="A75" s="23" t="s">
        <v>20</v>
      </c>
      <c r="B75" s="250" t="s">
        <v>145</v>
      </c>
      <c r="C75" s="484">
        <f>Nov20!O75</f>
        <v>468000</v>
      </c>
      <c r="D75" s="22">
        <f>Nov20!P75</f>
        <v>0</v>
      </c>
      <c r="E75" s="326">
        <v>42000</v>
      </c>
      <c r="F75" s="62"/>
      <c r="G75" s="326"/>
      <c r="H75" s="62"/>
      <c r="I75" s="326"/>
      <c r="J75" s="62"/>
      <c r="K75" s="326"/>
      <c r="L75" s="62"/>
      <c r="M75" s="326"/>
      <c r="N75" s="62"/>
      <c r="O75" s="18">
        <f t="shared" si="0"/>
        <v>510000</v>
      </c>
      <c r="P75" s="62"/>
      <c r="Q75" s="108"/>
    </row>
    <row r="76" spans="1:17" s="29" customFormat="1" ht="12.75">
      <c r="A76" s="23" t="s">
        <v>21</v>
      </c>
      <c r="B76" s="250" t="s">
        <v>146</v>
      </c>
      <c r="C76" s="484">
        <f>Nov20!O76</f>
        <v>209000</v>
      </c>
      <c r="D76" s="22">
        <f>Nov20!P76</f>
        <v>0</v>
      </c>
      <c r="E76" s="326">
        <v>19000</v>
      </c>
      <c r="F76" s="62"/>
      <c r="G76" s="326"/>
      <c r="H76" s="62"/>
      <c r="I76" s="326"/>
      <c r="J76" s="62"/>
      <c r="K76" s="326"/>
      <c r="L76" s="62"/>
      <c r="M76" s="326"/>
      <c r="N76" s="62"/>
      <c r="O76" s="18">
        <f t="shared" si="0"/>
        <v>228000</v>
      </c>
      <c r="P76" s="62"/>
      <c r="Q76" s="108"/>
    </row>
    <row r="77" spans="1:17" s="29" customFormat="1" ht="12.75">
      <c r="A77" s="23" t="s">
        <v>22</v>
      </c>
      <c r="B77" s="250" t="s">
        <v>147</v>
      </c>
      <c r="C77" s="484">
        <f>Nov20!O77</f>
        <v>209000</v>
      </c>
      <c r="D77" s="22">
        <f>Nov20!P77</f>
        <v>0</v>
      </c>
      <c r="E77" s="326">
        <v>19000</v>
      </c>
      <c r="F77" s="62"/>
      <c r="G77" s="326"/>
      <c r="H77" s="62"/>
      <c r="I77" s="326"/>
      <c r="J77" s="62"/>
      <c r="K77" s="326"/>
      <c r="L77" s="62"/>
      <c r="M77" s="326"/>
      <c r="N77" s="62"/>
      <c r="O77" s="18">
        <f t="shared" si="0"/>
        <v>228000</v>
      </c>
      <c r="P77" s="62"/>
      <c r="Q77" s="108"/>
    </row>
    <row r="78" spans="1:17" s="29" customFormat="1" ht="12.75">
      <c r="A78" s="23" t="s">
        <v>67</v>
      </c>
      <c r="B78" s="250" t="s">
        <v>527</v>
      </c>
      <c r="C78" s="484">
        <f>Nov20!O78</f>
        <v>408000</v>
      </c>
      <c r="D78" s="22">
        <f>Nov20!P78</f>
        <v>0</v>
      </c>
      <c r="E78" s="326"/>
      <c r="F78" s="62"/>
      <c r="G78" s="326"/>
      <c r="H78" s="62"/>
      <c r="I78" s="326"/>
      <c r="J78" s="62"/>
      <c r="K78" s="326"/>
      <c r="L78" s="62"/>
      <c r="M78" s="326"/>
      <c r="N78" s="62"/>
      <c r="O78" s="18">
        <f t="shared" si="0"/>
        <v>408000</v>
      </c>
      <c r="P78" s="62"/>
      <c r="Q78" s="247"/>
    </row>
    <row r="79" spans="1:17" s="29" customFormat="1" ht="12.75">
      <c r="A79" s="23" t="s">
        <v>149</v>
      </c>
      <c r="B79" s="250" t="s">
        <v>148</v>
      </c>
      <c r="C79" s="484">
        <f>Nov20!O79</f>
        <v>0</v>
      </c>
      <c r="D79" s="22">
        <f>Nov20!P79</f>
        <v>0</v>
      </c>
      <c r="E79" s="326"/>
      <c r="F79" s="62"/>
      <c r="G79" s="326"/>
      <c r="H79" s="62"/>
      <c r="I79" s="326"/>
      <c r="J79" s="62"/>
      <c r="K79" s="326"/>
      <c r="L79" s="62"/>
      <c r="M79" s="326"/>
      <c r="N79" s="62"/>
      <c r="O79" s="18">
        <f t="shared" si="0"/>
        <v>0</v>
      </c>
      <c r="P79" s="62"/>
      <c r="Q79" s="247"/>
    </row>
    <row r="80" spans="1:17" s="29" customFormat="1" ht="12.75">
      <c r="A80" s="23" t="s">
        <v>66</v>
      </c>
      <c r="B80" s="250" t="s">
        <v>150</v>
      </c>
      <c r="C80" s="484">
        <f>Nov20!O80</f>
        <v>0</v>
      </c>
      <c r="D80" s="22">
        <f>Nov20!P80</f>
        <v>0</v>
      </c>
      <c r="E80" s="326"/>
      <c r="F80" s="62"/>
      <c r="G80" s="326"/>
      <c r="H80" s="62"/>
      <c r="I80" s="326"/>
      <c r="J80" s="62"/>
      <c r="K80" s="326"/>
      <c r="L80" s="62"/>
      <c r="M80" s="326"/>
      <c r="N80" s="62"/>
      <c r="O80" s="18">
        <f t="shared" si="0"/>
        <v>0</v>
      </c>
      <c r="P80" s="62"/>
      <c r="Q80" s="108"/>
    </row>
    <row r="81" spans="1:17" s="29" customFormat="1" ht="12.75" customHeight="1">
      <c r="A81" s="23" t="s">
        <v>221</v>
      </c>
      <c r="B81" s="250" t="s">
        <v>537</v>
      </c>
      <c r="C81" s="484">
        <f>Nov20!O81</f>
        <v>0</v>
      </c>
      <c r="D81" s="22">
        <f>Nov20!P81</f>
        <v>0</v>
      </c>
      <c r="E81" s="326"/>
      <c r="F81" s="62"/>
      <c r="G81" s="326"/>
      <c r="H81" s="62"/>
      <c r="I81" s="326"/>
      <c r="J81" s="62"/>
      <c r="K81" s="326"/>
      <c r="L81" s="62"/>
      <c r="M81" s="326"/>
      <c r="N81" s="62"/>
      <c r="O81" s="18">
        <f t="shared" si="0"/>
        <v>0</v>
      </c>
      <c r="P81" s="62"/>
      <c r="Q81" s="108"/>
    </row>
    <row r="82" spans="1:17" s="29" customFormat="1" ht="12.75">
      <c r="A82" s="23" t="s">
        <v>76</v>
      </c>
      <c r="B82" s="250" t="s">
        <v>153</v>
      </c>
      <c r="C82" s="484">
        <f>Nov20!O82</f>
        <v>1205242</v>
      </c>
      <c r="D82" s="22">
        <f>Nov20!P82</f>
        <v>0</v>
      </c>
      <c r="E82" s="326"/>
      <c r="F82" s="62"/>
      <c r="G82" s="326"/>
      <c r="H82" s="62"/>
      <c r="I82" s="326"/>
      <c r="J82" s="62"/>
      <c r="K82" s="326"/>
      <c r="L82" s="62"/>
      <c r="M82" s="326"/>
      <c r="N82" s="62"/>
      <c r="O82" s="18">
        <f t="shared" si="0"/>
        <v>1205242</v>
      </c>
      <c r="P82" s="62"/>
      <c r="Q82" s="108"/>
    </row>
    <row r="83" spans="1:17" s="29" customFormat="1" ht="12.75">
      <c r="A83" s="23" t="s">
        <v>242</v>
      </c>
      <c r="B83" s="250" t="s">
        <v>234</v>
      </c>
      <c r="C83" s="484">
        <f>Nov20!O83</f>
        <v>0</v>
      </c>
      <c r="D83" s="22">
        <f>Nov20!P83</f>
        <v>0</v>
      </c>
      <c r="E83" s="326"/>
      <c r="F83" s="62"/>
      <c r="G83" s="326"/>
      <c r="H83" s="62"/>
      <c r="I83" s="326"/>
      <c r="J83" s="62"/>
      <c r="K83" s="326"/>
      <c r="L83" s="62"/>
      <c r="M83" s="326"/>
      <c r="N83" s="62"/>
      <c r="O83" s="18">
        <f t="shared" si="0"/>
        <v>0</v>
      </c>
      <c r="P83" s="62"/>
      <c r="Q83" s="108"/>
    </row>
    <row r="84" spans="1:17" s="29" customFormat="1" ht="13.5" customHeight="1">
      <c r="A84" s="23" t="s">
        <v>75</v>
      </c>
      <c r="B84" s="250" t="s">
        <v>152</v>
      </c>
      <c r="C84" s="484">
        <f>Nov20!O84</f>
        <v>110000</v>
      </c>
      <c r="D84" s="22">
        <f>Nov20!P84</f>
        <v>0</v>
      </c>
      <c r="E84" s="326"/>
      <c r="F84" s="62"/>
      <c r="G84" s="326"/>
      <c r="H84" s="62"/>
      <c r="I84" s="326"/>
      <c r="J84" s="62"/>
      <c r="K84" s="326"/>
      <c r="L84" s="62"/>
      <c r="M84" s="326"/>
      <c r="N84" s="62"/>
      <c r="O84" s="18">
        <f aca="true" t="shared" si="2" ref="O84:O147">C84+E84+I84+M84-D84-F84-J84-N84+G84-H84+K84-L84</f>
        <v>110000</v>
      </c>
      <c r="P84" s="62"/>
      <c r="Q84" s="108"/>
    </row>
    <row r="85" spans="1:17" s="29" customFormat="1" ht="12.75">
      <c r="A85" s="23" t="s">
        <v>70</v>
      </c>
      <c r="B85" s="250" t="s">
        <v>151</v>
      </c>
      <c r="C85" s="484">
        <f>Nov20!O85</f>
        <v>0</v>
      </c>
      <c r="D85" s="22">
        <f>Nov20!P85</f>
        <v>0</v>
      </c>
      <c r="E85" s="326"/>
      <c r="F85" s="62"/>
      <c r="G85" s="326"/>
      <c r="H85" s="62"/>
      <c r="I85" s="326"/>
      <c r="J85" s="62"/>
      <c r="K85" s="326"/>
      <c r="L85" s="62"/>
      <c r="M85" s="326"/>
      <c r="N85" s="62"/>
      <c r="O85" s="18">
        <f t="shared" si="2"/>
        <v>0</v>
      </c>
      <c r="P85" s="62"/>
      <c r="Q85" s="108"/>
    </row>
    <row r="86" spans="1:17" s="29" customFormat="1" ht="12.75">
      <c r="A86" s="23" t="s">
        <v>562</v>
      </c>
      <c r="B86" s="250" t="s">
        <v>563</v>
      </c>
      <c r="C86" s="484">
        <f>Nov20!O86</f>
        <v>193000</v>
      </c>
      <c r="D86" s="22">
        <f>Nov20!P86</f>
        <v>0</v>
      </c>
      <c r="E86" s="326">
        <v>891000</v>
      </c>
      <c r="F86" s="62"/>
      <c r="G86" s="326"/>
      <c r="H86" s="62"/>
      <c r="I86" s="326"/>
      <c r="J86" s="62"/>
      <c r="K86" s="326"/>
      <c r="L86" s="62"/>
      <c r="M86" s="326"/>
      <c r="N86" s="62"/>
      <c r="O86" s="18">
        <f t="shared" si="2"/>
        <v>1084000</v>
      </c>
      <c r="P86" s="62"/>
      <c r="Q86" s="108"/>
    </row>
    <row r="87" spans="1:17" s="29" customFormat="1" ht="12.75">
      <c r="A87" s="23" t="s">
        <v>564</v>
      </c>
      <c r="B87" s="250" t="s">
        <v>565</v>
      </c>
      <c r="C87" s="484">
        <f>Nov20!O87</f>
        <v>0</v>
      </c>
      <c r="D87" s="22">
        <f>Nov20!P87</f>
        <v>0</v>
      </c>
      <c r="E87" s="326">
        <v>110000</v>
      </c>
      <c r="F87" s="62"/>
      <c r="G87" s="326"/>
      <c r="H87" s="62"/>
      <c r="I87" s="326"/>
      <c r="J87" s="62"/>
      <c r="K87" s="326"/>
      <c r="L87" s="62"/>
      <c r="M87" s="326"/>
      <c r="N87" s="62"/>
      <c r="O87" s="18">
        <f t="shared" si="2"/>
        <v>110000</v>
      </c>
      <c r="P87" s="62"/>
      <c r="Q87" s="108"/>
    </row>
    <row r="88" spans="1:17" s="29" customFormat="1" ht="12.75">
      <c r="A88" s="23" t="s">
        <v>553</v>
      </c>
      <c r="B88" s="250" t="s">
        <v>554</v>
      </c>
      <c r="C88" s="484">
        <f>Nov20!O88</f>
        <v>0</v>
      </c>
      <c r="D88" s="22">
        <f>Nov20!P88</f>
        <v>0</v>
      </c>
      <c r="E88" s="326"/>
      <c r="F88" s="62"/>
      <c r="G88" s="326"/>
      <c r="H88" s="62"/>
      <c r="I88" s="326"/>
      <c r="J88" s="62"/>
      <c r="K88" s="326"/>
      <c r="L88" s="62"/>
      <c r="M88" s="326"/>
      <c r="N88" s="62"/>
      <c r="O88" s="18">
        <f t="shared" si="2"/>
        <v>0</v>
      </c>
      <c r="P88" s="62"/>
      <c r="Q88" s="108"/>
    </row>
    <row r="89" spans="1:17" s="29" customFormat="1" ht="12.75">
      <c r="A89" s="23" t="s">
        <v>33</v>
      </c>
      <c r="B89" s="250" t="s">
        <v>154</v>
      </c>
      <c r="C89" s="484">
        <f>Nov20!O89</f>
        <v>274097.64</v>
      </c>
      <c r="D89" s="22">
        <f>Nov20!P89</f>
        <v>0</v>
      </c>
      <c r="E89" s="326"/>
      <c r="F89" s="62"/>
      <c r="G89" s="326"/>
      <c r="H89" s="62"/>
      <c r="I89" s="326"/>
      <c r="J89" s="62"/>
      <c r="K89" s="326"/>
      <c r="L89" s="62"/>
      <c r="M89" s="326"/>
      <c r="N89" s="62"/>
      <c r="O89" s="18">
        <f t="shared" si="2"/>
        <v>274097.64</v>
      </c>
      <c r="P89" s="62"/>
      <c r="Q89" s="108"/>
    </row>
    <row r="90" spans="1:17" s="29" customFormat="1" ht="12.75">
      <c r="A90" s="23" t="s">
        <v>34</v>
      </c>
      <c r="B90" s="250" t="s">
        <v>155</v>
      </c>
      <c r="C90" s="484">
        <f>Nov20!O90</f>
        <v>31146.8</v>
      </c>
      <c r="D90" s="22">
        <f>Nov20!P90</f>
        <v>0</v>
      </c>
      <c r="E90" s="326">
        <v>6169.36</v>
      </c>
      <c r="F90" s="62"/>
      <c r="G90" s="326"/>
      <c r="H90" s="62"/>
      <c r="I90" s="326"/>
      <c r="J90" s="62"/>
      <c r="K90" s="326"/>
      <c r="L90" s="62"/>
      <c r="M90" s="326"/>
      <c r="N90" s="62"/>
      <c r="O90" s="18">
        <f t="shared" si="2"/>
        <v>37316.159999999996</v>
      </c>
      <c r="P90" s="62"/>
      <c r="Q90" s="108"/>
    </row>
    <row r="91" spans="1:17" s="29" customFormat="1" ht="12.75">
      <c r="A91" s="23" t="s">
        <v>35</v>
      </c>
      <c r="B91" s="250" t="s">
        <v>156</v>
      </c>
      <c r="C91" s="484">
        <f>Nov20!O91</f>
        <v>143024.59</v>
      </c>
      <c r="D91" s="22">
        <f>Nov20!P91</f>
        <v>0</v>
      </c>
      <c r="E91" s="326">
        <v>25515.18</v>
      </c>
      <c r="F91" s="62"/>
      <c r="G91" s="326"/>
      <c r="H91" s="62"/>
      <c r="I91" s="326"/>
      <c r="J91" s="62"/>
      <c r="K91" s="326"/>
      <c r="L91" s="62"/>
      <c r="M91" s="326"/>
      <c r="N91" s="62"/>
      <c r="O91" s="18">
        <f t="shared" si="2"/>
        <v>168539.77</v>
      </c>
      <c r="P91" s="62"/>
      <c r="Q91" s="108"/>
    </row>
    <row r="92" spans="1:17" s="29" customFormat="1" ht="12.75">
      <c r="A92" s="23" t="s">
        <v>36</v>
      </c>
      <c r="B92" s="250" t="s">
        <v>157</v>
      </c>
      <c r="C92" s="484">
        <f>Nov20!O92</f>
        <v>20300</v>
      </c>
      <c r="D92" s="22">
        <f>Nov20!P92</f>
        <v>0</v>
      </c>
      <c r="E92" s="326">
        <v>4200</v>
      </c>
      <c r="F92" s="62"/>
      <c r="G92" s="326"/>
      <c r="H92" s="62"/>
      <c r="I92" s="326"/>
      <c r="J92" s="62"/>
      <c r="K92" s="326"/>
      <c r="L92" s="62"/>
      <c r="M92" s="326"/>
      <c r="N92" s="62"/>
      <c r="O92" s="18">
        <f t="shared" si="2"/>
        <v>24500</v>
      </c>
      <c r="P92" s="62"/>
      <c r="Q92" s="108"/>
    </row>
    <row r="93" spans="1:17" s="29" customFormat="1" ht="12.75">
      <c r="A93" s="23" t="s">
        <v>698</v>
      </c>
      <c r="B93" s="250" t="s">
        <v>699</v>
      </c>
      <c r="C93" s="484">
        <f>Nov20!O93</f>
        <v>0</v>
      </c>
      <c r="D93" s="22">
        <f>Nov20!P93</f>
        <v>0</v>
      </c>
      <c r="E93" s="326"/>
      <c r="F93" s="62"/>
      <c r="G93" s="326"/>
      <c r="H93" s="62"/>
      <c r="I93" s="326"/>
      <c r="J93" s="62"/>
      <c r="K93" s="326"/>
      <c r="L93" s="62"/>
      <c r="M93" s="326"/>
      <c r="N93" s="62"/>
      <c r="O93" s="18">
        <f t="shared" si="2"/>
        <v>0</v>
      </c>
      <c r="P93" s="62"/>
      <c r="Q93" s="108"/>
    </row>
    <row r="94" spans="1:17" s="29" customFormat="1" ht="12.75">
      <c r="A94" s="23" t="s">
        <v>208</v>
      </c>
      <c r="B94" s="250" t="s">
        <v>207</v>
      </c>
      <c r="C94" s="484">
        <f>Nov20!O94</f>
        <v>1471033.81</v>
      </c>
      <c r="D94" s="22">
        <f>Nov20!P94</f>
        <v>0</v>
      </c>
      <c r="E94" s="326">
        <v>1033019.07</v>
      </c>
      <c r="F94" s="62"/>
      <c r="G94" s="326"/>
      <c r="H94" s="62"/>
      <c r="I94" s="326"/>
      <c r="J94" s="62"/>
      <c r="K94" s="326"/>
      <c r="L94" s="62"/>
      <c r="M94" s="122"/>
      <c r="N94" s="62"/>
      <c r="O94" s="18">
        <f t="shared" si="2"/>
        <v>2504052.88</v>
      </c>
      <c r="P94" s="62"/>
      <c r="Q94" s="108"/>
    </row>
    <row r="95" spans="1:17" s="29" customFormat="1" ht="12.75">
      <c r="A95" s="23" t="s">
        <v>719</v>
      </c>
      <c r="B95" s="250" t="s">
        <v>720</v>
      </c>
      <c r="C95" s="484">
        <f>Nov20!O95</f>
        <v>1047856.5</v>
      </c>
      <c r="D95" s="22">
        <f>Nov20!P95</f>
        <v>0</v>
      </c>
      <c r="E95" s="326"/>
      <c r="F95" s="62"/>
      <c r="G95" s="326"/>
      <c r="H95" s="62"/>
      <c r="I95" s="326"/>
      <c r="J95" s="62"/>
      <c r="K95" s="326"/>
      <c r="L95" s="62"/>
      <c r="M95" s="326"/>
      <c r="N95" s="62"/>
      <c r="O95" s="18">
        <f t="shared" si="2"/>
        <v>1047856.5</v>
      </c>
      <c r="P95" s="62"/>
      <c r="Q95" s="108"/>
    </row>
    <row r="96" spans="1:17" s="29" customFormat="1" ht="12.75">
      <c r="A96" s="23" t="s">
        <v>28</v>
      </c>
      <c r="B96" s="250" t="s">
        <v>158</v>
      </c>
      <c r="C96" s="484">
        <f>Nov20!O96</f>
        <v>606113.68</v>
      </c>
      <c r="D96" s="22">
        <f>Nov20!P96</f>
        <v>0</v>
      </c>
      <c r="E96" s="326">
        <v>8187</v>
      </c>
      <c r="F96" s="62"/>
      <c r="G96" s="326"/>
      <c r="H96" s="62"/>
      <c r="I96" s="326"/>
      <c r="J96" s="62"/>
      <c r="K96" s="326"/>
      <c r="L96" s="62"/>
      <c r="M96" s="326"/>
      <c r="N96" s="62"/>
      <c r="O96" s="18">
        <f t="shared" si="2"/>
        <v>614300.68</v>
      </c>
      <c r="P96" s="62"/>
      <c r="Q96" s="108"/>
    </row>
    <row r="97" spans="1:17" s="29" customFormat="1" ht="12.75">
      <c r="A97" s="23" t="s">
        <v>243</v>
      </c>
      <c r="B97" s="250" t="s">
        <v>236</v>
      </c>
      <c r="C97" s="484">
        <f>Nov20!O97</f>
        <v>0</v>
      </c>
      <c r="D97" s="22">
        <f>Nov20!P97</f>
        <v>0</v>
      </c>
      <c r="E97" s="326"/>
      <c r="F97" s="62"/>
      <c r="G97" s="326"/>
      <c r="H97" s="62"/>
      <c r="I97" s="326"/>
      <c r="J97" s="62"/>
      <c r="K97" s="326"/>
      <c r="L97" s="62"/>
      <c r="M97" s="326"/>
      <c r="N97" s="62"/>
      <c r="O97" s="18">
        <f t="shared" si="2"/>
        <v>0</v>
      </c>
      <c r="P97" s="62"/>
      <c r="Q97" s="108"/>
    </row>
    <row r="98" spans="1:17" s="29" customFormat="1" ht="12.75">
      <c r="A98" s="23" t="s">
        <v>27</v>
      </c>
      <c r="B98" s="250" t="s">
        <v>159</v>
      </c>
      <c r="C98" s="484">
        <f>Nov20!O98</f>
        <v>3353311.25</v>
      </c>
      <c r="D98" s="22">
        <f>Nov20!P98</f>
        <v>0</v>
      </c>
      <c r="E98" s="326">
        <v>44000</v>
      </c>
      <c r="F98" s="62"/>
      <c r="G98" s="326"/>
      <c r="H98" s="62"/>
      <c r="I98" s="326"/>
      <c r="J98" s="62"/>
      <c r="K98" s="326"/>
      <c r="L98" s="62"/>
      <c r="M98" s="326"/>
      <c r="N98" s="62"/>
      <c r="O98" s="18">
        <f t="shared" si="2"/>
        <v>3397311.25</v>
      </c>
      <c r="P98" s="62"/>
      <c r="Q98" s="108"/>
    </row>
    <row r="99" spans="1:17" s="29" customFormat="1" ht="12.75">
      <c r="A99" s="23" t="s">
        <v>160</v>
      </c>
      <c r="B99" s="250" t="s">
        <v>161</v>
      </c>
      <c r="C99" s="484">
        <f>Nov20!O99</f>
        <v>0</v>
      </c>
      <c r="D99" s="22">
        <f>Nov20!P99</f>
        <v>0</v>
      </c>
      <c r="E99" s="326"/>
      <c r="F99" s="62"/>
      <c r="G99" s="326"/>
      <c r="H99" s="62"/>
      <c r="I99" s="326"/>
      <c r="J99" s="62"/>
      <c r="K99" s="326"/>
      <c r="L99" s="62"/>
      <c r="M99" s="326"/>
      <c r="N99" s="62"/>
      <c r="O99" s="18">
        <f t="shared" si="2"/>
        <v>0</v>
      </c>
      <c r="P99" s="62"/>
      <c r="Q99" s="108"/>
    </row>
    <row r="100" spans="1:17" s="29" customFormat="1" ht="12.75">
      <c r="A100" s="23" t="s">
        <v>216</v>
      </c>
      <c r="B100" s="250" t="s">
        <v>162</v>
      </c>
      <c r="C100" s="484">
        <f>Nov20!O100</f>
        <v>13074.5</v>
      </c>
      <c r="D100" s="22">
        <f>Nov20!P100</f>
        <v>0</v>
      </c>
      <c r="E100" s="326"/>
      <c r="F100" s="62"/>
      <c r="G100" s="326"/>
      <c r="H100" s="62"/>
      <c r="I100" s="326"/>
      <c r="J100" s="62"/>
      <c r="K100" s="326"/>
      <c r="L100" s="62"/>
      <c r="M100" s="326">
        <f>1228073.22+2173</f>
        <v>1230246.22</v>
      </c>
      <c r="N100" s="62"/>
      <c r="O100" s="18">
        <f t="shared" si="2"/>
        <v>1243320.72</v>
      </c>
      <c r="P100" s="62"/>
      <c r="Q100" s="108"/>
    </row>
    <row r="101" spans="1:17" s="29" customFormat="1" ht="12.75">
      <c r="A101" s="23" t="s">
        <v>56</v>
      </c>
      <c r="B101" s="250" t="s">
        <v>163</v>
      </c>
      <c r="C101" s="484">
        <f>Nov20!O101</f>
        <v>0</v>
      </c>
      <c r="D101" s="22">
        <f>Nov20!P101</f>
        <v>0</v>
      </c>
      <c r="E101" s="326"/>
      <c r="F101" s="62"/>
      <c r="G101" s="326"/>
      <c r="H101" s="62"/>
      <c r="I101" s="326"/>
      <c r="J101" s="62"/>
      <c r="K101" s="326"/>
      <c r="L101" s="62"/>
      <c r="M101" s="326">
        <v>4000</v>
      </c>
      <c r="N101" s="62"/>
      <c r="O101" s="18">
        <f t="shared" si="2"/>
        <v>4000</v>
      </c>
      <c r="P101" s="62"/>
      <c r="Q101" s="108"/>
    </row>
    <row r="102" spans="1:17" s="29" customFormat="1" ht="12.75">
      <c r="A102" s="23" t="s">
        <v>217</v>
      </c>
      <c r="B102" s="250" t="s">
        <v>218</v>
      </c>
      <c r="C102" s="484">
        <f>Nov20!O102</f>
        <v>0</v>
      </c>
      <c r="D102" s="22">
        <f>Nov20!P102</f>
        <v>0</v>
      </c>
      <c r="E102" s="326"/>
      <c r="F102" s="62"/>
      <c r="G102" s="326"/>
      <c r="H102" s="62"/>
      <c r="I102" s="326"/>
      <c r="J102" s="62"/>
      <c r="K102" s="326"/>
      <c r="L102" s="62"/>
      <c r="M102" s="326"/>
      <c r="N102" s="62"/>
      <c r="O102" s="18">
        <f t="shared" si="2"/>
        <v>0</v>
      </c>
      <c r="P102" s="62"/>
      <c r="Q102" s="108"/>
    </row>
    <row r="103" spans="1:17" s="29" customFormat="1" ht="12.75">
      <c r="A103" s="23" t="s">
        <v>164</v>
      </c>
      <c r="B103" s="250" t="s">
        <v>165</v>
      </c>
      <c r="C103" s="484">
        <f>Nov20!O103</f>
        <v>92598.04000000001</v>
      </c>
      <c r="D103" s="22">
        <f>Nov20!P103</f>
        <v>0</v>
      </c>
      <c r="E103" s="326">
        <v>11225</v>
      </c>
      <c r="F103" s="62"/>
      <c r="G103" s="326"/>
      <c r="H103" s="62"/>
      <c r="I103" s="326"/>
      <c r="J103" s="62"/>
      <c r="K103" s="326"/>
      <c r="L103" s="62"/>
      <c r="M103" s="326">
        <v>2830</v>
      </c>
      <c r="N103" s="62"/>
      <c r="O103" s="18">
        <f t="shared" si="2"/>
        <v>106653.04000000001</v>
      </c>
      <c r="P103" s="62"/>
      <c r="Q103" s="108"/>
    </row>
    <row r="104" spans="1:17" s="29" customFormat="1" ht="12.75">
      <c r="A104" s="23" t="s">
        <v>570</v>
      </c>
      <c r="B104" s="250" t="s">
        <v>556</v>
      </c>
      <c r="C104" s="484">
        <f>Nov20!O104</f>
        <v>0</v>
      </c>
      <c r="D104" s="22">
        <f>Nov20!P104</f>
        <v>0</v>
      </c>
      <c r="E104" s="326"/>
      <c r="F104" s="62"/>
      <c r="G104" s="326"/>
      <c r="H104" s="62"/>
      <c r="I104" s="326"/>
      <c r="J104" s="62"/>
      <c r="K104" s="326"/>
      <c r="L104" s="62"/>
      <c r="M104" s="326"/>
      <c r="N104" s="62"/>
      <c r="O104" s="18">
        <f t="shared" si="2"/>
        <v>0</v>
      </c>
      <c r="P104" s="62"/>
      <c r="Q104" s="108"/>
    </row>
    <row r="105" spans="1:17" s="29" customFormat="1" ht="12.75">
      <c r="A105" s="23" t="s">
        <v>535</v>
      </c>
      <c r="B105" s="250" t="s">
        <v>521</v>
      </c>
      <c r="C105" s="484">
        <f>Nov20!O105</f>
        <v>0</v>
      </c>
      <c r="D105" s="22">
        <f>Nov20!P105</f>
        <v>0</v>
      </c>
      <c r="E105" s="326"/>
      <c r="F105" s="62"/>
      <c r="G105" s="326"/>
      <c r="H105" s="62"/>
      <c r="I105" s="326"/>
      <c r="J105" s="62"/>
      <c r="K105" s="326"/>
      <c r="L105" s="62"/>
      <c r="M105" s="326"/>
      <c r="N105" s="62"/>
      <c r="O105" s="18">
        <f t="shared" si="2"/>
        <v>0</v>
      </c>
      <c r="P105" s="62"/>
      <c r="Q105" s="108"/>
    </row>
    <row r="106" spans="1:17" s="29" customFormat="1" ht="12.75">
      <c r="A106" s="23" t="s">
        <v>536</v>
      </c>
      <c r="B106" s="250" t="s">
        <v>522</v>
      </c>
      <c r="C106" s="484">
        <f>Nov20!O106</f>
        <v>0</v>
      </c>
      <c r="D106" s="22">
        <f>Nov20!P106</f>
        <v>0</v>
      </c>
      <c r="E106" s="326"/>
      <c r="F106" s="62"/>
      <c r="G106" s="326"/>
      <c r="H106" s="62"/>
      <c r="I106" s="326"/>
      <c r="J106" s="62"/>
      <c r="K106" s="326"/>
      <c r="L106" s="62"/>
      <c r="M106" s="326"/>
      <c r="N106" s="62"/>
      <c r="O106" s="18">
        <f t="shared" si="2"/>
        <v>0</v>
      </c>
      <c r="P106" s="62"/>
      <c r="Q106" s="108"/>
    </row>
    <row r="107" spans="1:17" s="29" customFormat="1" ht="12.75">
      <c r="A107" s="23" t="s">
        <v>571</v>
      </c>
      <c r="B107" s="250" t="s">
        <v>572</v>
      </c>
      <c r="C107" s="484">
        <f>Nov20!O107</f>
        <v>0</v>
      </c>
      <c r="D107" s="22">
        <f>Nov20!P107</f>
        <v>0</v>
      </c>
      <c r="E107" s="326"/>
      <c r="F107" s="62"/>
      <c r="G107" s="326"/>
      <c r="H107" s="62"/>
      <c r="I107" s="326"/>
      <c r="J107" s="62"/>
      <c r="K107" s="326"/>
      <c r="L107" s="62"/>
      <c r="M107" s="326"/>
      <c r="N107" s="62"/>
      <c r="O107" s="18">
        <f t="shared" si="2"/>
        <v>0</v>
      </c>
      <c r="P107" s="62"/>
      <c r="Q107" s="108"/>
    </row>
    <row r="108" spans="1:17" s="29" customFormat="1" ht="12.75">
      <c r="A108" s="23" t="s">
        <v>573</v>
      </c>
      <c r="B108" s="250" t="s">
        <v>557</v>
      </c>
      <c r="C108" s="484">
        <f>Nov20!O108</f>
        <v>0</v>
      </c>
      <c r="D108" s="22">
        <f>Nov20!P108</f>
        <v>0</v>
      </c>
      <c r="E108" s="326"/>
      <c r="F108" s="62"/>
      <c r="G108" s="326"/>
      <c r="H108" s="62"/>
      <c r="I108" s="326"/>
      <c r="J108" s="62"/>
      <c r="K108" s="326"/>
      <c r="L108" s="62"/>
      <c r="M108" s="326"/>
      <c r="N108" s="62"/>
      <c r="O108" s="18">
        <f t="shared" si="2"/>
        <v>0</v>
      </c>
      <c r="P108" s="62"/>
      <c r="Q108" s="108"/>
    </row>
    <row r="109" spans="1:17" s="29" customFormat="1" ht="12.75">
      <c r="A109" s="23" t="s">
        <v>241</v>
      </c>
      <c r="B109" s="250" t="s">
        <v>235</v>
      </c>
      <c r="C109" s="484">
        <f>Nov20!O109</f>
        <v>0</v>
      </c>
      <c r="D109" s="22">
        <f>Nov20!P109</f>
        <v>0</v>
      </c>
      <c r="E109" s="326"/>
      <c r="F109" s="62"/>
      <c r="G109" s="326"/>
      <c r="H109" s="62"/>
      <c r="I109" s="326"/>
      <c r="J109" s="62"/>
      <c r="K109" s="326"/>
      <c r="L109" s="62"/>
      <c r="M109" s="326"/>
      <c r="N109" s="62"/>
      <c r="O109" s="18">
        <f t="shared" si="2"/>
        <v>0</v>
      </c>
      <c r="P109" s="62"/>
      <c r="Q109" s="108"/>
    </row>
    <row r="110" spans="1:17" s="29" customFormat="1" ht="12.75">
      <c r="A110" s="23" t="s">
        <v>166</v>
      </c>
      <c r="B110" s="250" t="s">
        <v>167</v>
      </c>
      <c r="C110" s="484">
        <f>Nov20!O110</f>
        <v>2328.25</v>
      </c>
      <c r="D110" s="22">
        <f>Nov20!P110</f>
        <v>0</v>
      </c>
      <c r="E110" s="326"/>
      <c r="F110" s="62"/>
      <c r="G110" s="326"/>
      <c r="H110" s="62"/>
      <c r="I110" s="326"/>
      <c r="J110" s="62"/>
      <c r="K110" s="326"/>
      <c r="L110" s="62"/>
      <c r="M110" s="326"/>
      <c r="N110" s="62"/>
      <c r="O110" s="18">
        <f t="shared" si="2"/>
        <v>2328.25</v>
      </c>
      <c r="P110" s="62"/>
      <c r="Q110" s="108"/>
    </row>
    <row r="111" spans="1:17" s="29" customFormat="1" ht="12.75">
      <c r="A111" s="23" t="s">
        <v>37</v>
      </c>
      <c r="B111" s="250" t="s">
        <v>168</v>
      </c>
      <c r="C111" s="484">
        <f>Nov20!O111</f>
        <v>27372.6</v>
      </c>
      <c r="D111" s="22">
        <f>Nov20!P111</f>
        <v>0</v>
      </c>
      <c r="E111" s="326">
        <v>6599</v>
      </c>
      <c r="F111" s="62"/>
      <c r="G111" s="326"/>
      <c r="H111" s="62"/>
      <c r="I111" s="326"/>
      <c r="J111" s="62"/>
      <c r="K111" s="326"/>
      <c r="L111" s="62"/>
      <c r="M111" s="326"/>
      <c r="N111" s="62"/>
      <c r="O111" s="18">
        <f t="shared" si="2"/>
        <v>33971.6</v>
      </c>
      <c r="P111" s="62"/>
      <c r="Q111" s="108"/>
    </row>
    <row r="112" spans="1:17" s="29" customFormat="1" ht="12.75">
      <c r="A112" s="23" t="s">
        <v>43</v>
      </c>
      <c r="B112" s="250" t="s">
        <v>169</v>
      </c>
      <c r="C112" s="484">
        <f>Nov20!O112</f>
        <v>176474.3</v>
      </c>
      <c r="D112" s="22">
        <f>Nov20!P112</f>
        <v>0</v>
      </c>
      <c r="E112" s="326">
        <v>0</v>
      </c>
      <c r="F112" s="62"/>
      <c r="G112" s="326"/>
      <c r="H112" s="62"/>
      <c r="I112" s="326"/>
      <c r="J112" s="62"/>
      <c r="K112" s="326"/>
      <c r="L112" s="62"/>
      <c r="M112" s="326"/>
      <c r="N112" s="62"/>
      <c r="O112" s="18">
        <f t="shared" si="2"/>
        <v>176474.3</v>
      </c>
      <c r="P112" s="62"/>
      <c r="Q112" s="108"/>
    </row>
    <row r="113" spans="1:17" s="29" customFormat="1" ht="12.75">
      <c r="A113" s="23" t="s">
        <v>694</v>
      </c>
      <c r="B113" s="250" t="s">
        <v>695</v>
      </c>
      <c r="C113" s="484">
        <f>Nov20!O113</f>
        <v>0</v>
      </c>
      <c r="D113" s="22">
        <f>Nov20!P113</f>
        <v>0</v>
      </c>
      <c r="E113" s="326"/>
      <c r="F113" s="62"/>
      <c r="G113" s="326"/>
      <c r="H113" s="62"/>
      <c r="I113" s="326"/>
      <c r="J113" s="62"/>
      <c r="K113" s="326"/>
      <c r="L113" s="62"/>
      <c r="M113" s="326"/>
      <c r="N113" s="62"/>
      <c r="O113" s="18">
        <f t="shared" si="2"/>
        <v>0</v>
      </c>
      <c r="P113" s="62"/>
      <c r="Q113" s="108"/>
    </row>
    <row r="114" spans="1:17" s="29" customFormat="1" ht="12.75">
      <c r="A114" s="23" t="s">
        <v>29</v>
      </c>
      <c r="B114" s="250" t="s">
        <v>170</v>
      </c>
      <c r="C114" s="484">
        <f>Nov20!O114</f>
        <v>60790.8</v>
      </c>
      <c r="D114" s="22">
        <f>Nov20!P114</f>
        <v>0</v>
      </c>
      <c r="E114" s="326">
        <v>1515</v>
      </c>
      <c r="F114" s="62"/>
      <c r="G114" s="326"/>
      <c r="H114" s="62"/>
      <c r="I114" s="326"/>
      <c r="J114" s="62"/>
      <c r="K114" s="326"/>
      <c r="L114" s="62"/>
      <c r="M114" s="326">
        <v>5583.2</v>
      </c>
      <c r="N114" s="62"/>
      <c r="O114" s="18">
        <f t="shared" si="2"/>
        <v>67889</v>
      </c>
      <c r="P114" s="62"/>
      <c r="Q114" s="108"/>
    </row>
    <row r="115" spans="1:17" s="29" customFormat="1" ht="12.75">
      <c r="A115" s="23" t="s">
        <v>194</v>
      </c>
      <c r="B115" s="250" t="s">
        <v>196</v>
      </c>
      <c r="C115" s="484">
        <f>Nov20!O115</f>
        <v>87572.98000000001</v>
      </c>
      <c r="D115" s="22">
        <f>Nov20!P115</f>
        <v>0</v>
      </c>
      <c r="E115" s="326">
        <v>8291.97</v>
      </c>
      <c r="F115" s="62"/>
      <c r="G115" s="326"/>
      <c r="H115" s="62"/>
      <c r="I115" s="326"/>
      <c r="J115" s="62"/>
      <c r="K115" s="326"/>
      <c r="L115" s="62"/>
      <c r="M115" s="326"/>
      <c r="N115" s="62"/>
      <c r="O115" s="18">
        <f t="shared" si="2"/>
        <v>95864.95000000001</v>
      </c>
      <c r="P115" s="62"/>
      <c r="Q115" s="108"/>
    </row>
    <row r="116" spans="1:17" s="29" customFormat="1" ht="12.75">
      <c r="A116" s="23" t="s">
        <v>195</v>
      </c>
      <c r="B116" s="250" t="s">
        <v>197</v>
      </c>
      <c r="C116" s="484">
        <f>Nov20!O116</f>
        <v>15951.15</v>
      </c>
      <c r="D116" s="22">
        <f>Nov20!P116</f>
        <v>0</v>
      </c>
      <c r="E116" s="326">
        <v>15754.93</v>
      </c>
      <c r="F116" s="62"/>
      <c r="G116" s="326"/>
      <c r="H116" s="62"/>
      <c r="I116" s="326"/>
      <c r="J116" s="62"/>
      <c r="K116" s="326"/>
      <c r="L116" s="62"/>
      <c r="M116" s="326"/>
      <c r="N116" s="62"/>
      <c r="O116" s="18">
        <f t="shared" si="2"/>
        <v>31706.08</v>
      </c>
      <c r="P116" s="62"/>
      <c r="Q116" s="108"/>
    </row>
    <row r="117" spans="1:17" s="29" customFormat="1" ht="12.75">
      <c r="A117" s="23" t="s">
        <v>171</v>
      </c>
      <c r="B117" s="250" t="s">
        <v>172</v>
      </c>
      <c r="C117" s="484">
        <f>Nov20!O117</f>
        <v>73145.39</v>
      </c>
      <c r="D117" s="22">
        <f>Nov20!P117</f>
        <v>0</v>
      </c>
      <c r="E117" s="326">
        <v>32253.7</v>
      </c>
      <c r="F117" s="62"/>
      <c r="G117" s="326"/>
      <c r="H117" s="62"/>
      <c r="I117" s="326"/>
      <c r="J117" s="62"/>
      <c r="K117" s="326"/>
      <c r="L117" s="62"/>
      <c r="M117" s="326">
        <v>3700</v>
      </c>
      <c r="N117" s="62"/>
      <c r="O117" s="18">
        <f t="shared" si="2"/>
        <v>109099.09</v>
      </c>
      <c r="P117" s="62"/>
      <c r="Q117" s="108"/>
    </row>
    <row r="118" spans="1:17" s="29" customFormat="1" ht="12.75">
      <c r="A118" s="23" t="s">
        <v>51</v>
      </c>
      <c r="B118" s="250" t="s">
        <v>173</v>
      </c>
      <c r="C118" s="484">
        <f>Nov20!O118</f>
        <v>300</v>
      </c>
      <c r="D118" s="22">
        <f>Nov20!P118</f>
        <v>0</v>
      </c>
      <c r="E118" s="326"/>
      <c r="F118" s="62"/>
      <c r="G118" s="326"/>
      <c r="H118" s="62"/>
      <c r="I118" s="326"/>
      <c r="J118" s="62"/>
      <c r="K118" s="326"/>
      <c r="L118" s="62"/>
      <c r="M118" s="326"/>
      <c r="N118" s="62"/>
      <c r="O118" s="18">
        <f t="shared" si="2"/>
        <v>300</v>
      </c>
      <c r="P118" s="62"/>
      <c r="Q118" s="108"/>
    </row>
    <row r="119" spans="1:17" s="29" customFormat="1" ht="12.75">
      <c r="A119" s="23" t="s">
        <v>539</v>
      </c>
      <c r="B119" s="250" t="s">
        <v>538</v>
      </c>
      <c r="C119" s="484">
        <f>Nov20!O119</f>
        <v>0</v>
      </c>
      <c r="D119" s="22">
        <f>Nov20!P119</f>
        <v>0</v>
      </c>
      <c r="E119" s="326"/>
      <c r="F119" s="62"/>
      <c r="G119" s="326"/>
      <c r="H119" s="62"/>
      <c r="I119" s="326"/>
      <c r="J119" s="62"/>
      <c r="K119" s="326"/>
      <c r="L119" s="62"/>
      <c r="M119" s="326"/>
      <c r="N119" s="62"/>
      <c r="O119" s="18">
        <f t="shared" si="2"/>
        <v>0</v>
      </c>
      <c r="P119" s="62"/>
      <c r="Q119" s="108"/>
    </row>
    <row r="120" spans="1:17" s="29" customFormat="1" ht="12.75">
      <c r="A120" s="23" t="s">
        <v>193</v>
      </c>
      <c r="B120" s="250" t="s">
        <v>190</v>
      </c>
      <c r="C120" s="484">
        <f>Nov20!O120</f>
        <v>100833.37</v>
      </c>
      <c r="D120" s="22">
        <f>Nov20!P120</f>
        <v>0</v>
      </c>
      <c r="E120" s="326">
        <v>9166.67</v>
      </c>
      <c r="F120" s="62"/>
      <c r="G120" s="326"/>
      <c r="H120" s="62"/>
      <c r="I120" s="326"/>
      <c r="J120" s="62"/>
      <c r="K120" s="326"/>
      <c r="L120" s="62"/>
      <c r="M120" s="326"/>
      <c r="N120" s="62"/>
      <c r="O120" s="18">
        <f t="shared" si="2"/>
        <v>110000.04</v>
      </c>
      <c r="P120" s="62"/>
      <c r="Q120" s="108"/>
    </row>
    <row r="121" spans="1:17" s="29" customFormat="1" ht="12.75">
      <c r="A121" s="23" t="s">
        <v>71</v>
      </c>
      <c r="B121" s="250" t="s">
        <v>178</v>
      </c>
      <c r="C121" s="484">
        <f>Nov20!O121</f>
        <v>400</v>
      </c>
      <c r="D121" s="22">
        <f>Nov20!P121</f>
        <v>0</v>
      </c>
      <c r="E121" s="326"/>
      <c r="F121" s="62"/>
      <c r="G121" s="326"/>
      <c r="H121" s="62"/>
      <c r="I121" s="326"/>
      <c r="J121" s="62"/>
      <c r="K121" s="326"/>
      <c r="L121" s="62"/>
      <c r="M121" s="326"/>
      <c r="N121" s="62"/>
      <c r="O121" s="18">
        <f t="shared" si="2"/>
        <v>400</v>
      </c>
      <c r="P121" s="62"/>
      <c r="Q121" s="108"/>
    </row>
    <row r="122" spans="1:17" s="29" customFormat="1" ht="12.75">
      <c r="A122" s="23" t="s">
        <v>30</v>
      </c>
      <c r="B122" s="250" t="s">
        <v>179</v>
      </c>
      <c r="C122" s="484">
        <f>Nov20!O122</f>
        <v>0</v>
      </c>
      <c r="D122" s="22">
        <f>Nov20!P122</f>
        <v>0</v>
      </c>
      <c r="E122" s="326"/>
      <c r="F122" s="62"/>
      <c r="G122" s="326"/>
      <c r="H122" s="62"/>
      <c r="I122" s="326"/>
      <c r="J122" s="62"/>
      <c r="K122" s="326"/>
      <c r="L122" s="62"/>
      <c r="M122" s="326"/>
      <c r="N122" s="62"/>
      <c r="O122" s="18">
        <f t="shared" si="2"/>
        <v>0</v>
      </c>
      <c r="P122" s="62"/>
      <c r="Q122" s="108"/>
    </row>
    <row r="123" spans="1:17" s="29" customFormat="1" ht="12.75">
      <c r="A123" s="23" t="s">
        <v>198</v>
      </c>
      <c r="B123" s="250" t="s">
        <v>199</v>
      </c>
      <c r="C123" s="484">
        <f>Nov20!O123</f>
        <v>0</v>
      </c>
      <c r="D123" s="22">
        <f>Nov20!P123</f>
        <v>0</v>
      </c>
      <c r="E123" s="326"/>
      <c r="F123" s="62"/>
      <c r="G123" s="326"/>
      <c r="H123" s="62"/>
      <c r="I123" s="326"/>
      <c r="J123" s="62"/>
      <c r="K123" s="326"/>
      <c r="L123" s="62"/>
      <c r="M123" s="326"/>
      <c r="N123" s="62"/>
      <c r="O123" s="18">
        <f t="shared" si="2"/>
        <v>0</v>
      </c>
      <c r="P123" s="62"/>
      <c r="Q123" s="108"/>
    </row>
    <row r="124" spans="1:16" s="29" customFormat="1" ht="12.75">
      <c r="A124" s="23" t="s">
        <v>72</v>
      </c>
      <c r="B124" s="250" t="s">
        <v>182</v>
      </c>
      <c r="C124" s="484">
        <f>Nov20!O124</f>
        <v>596243.44</v>
      </c>
      <c r="D124" s="22">
        <f>Nov20!P124</f>
        <v>0</v>
      </c>
      <c r="E124" s="326">
        <v>53454.1</v>
      </c>
      <c r="F124" s="62"/>
      <c r="G124" s="326"/>
      <c r="H124" s="62"/>
      <c r="I124" s="326"/>
      <c r="J124" s="62"/>
      <c r="K124" s="326"/>
      <c r="L124" s="62"/>
      <c r="M124" s="326"/>
      <c r="N124" s="62"/>
      <c r="O124" s="18">
        <f t="shared" si="2"/>
        <v>649697.5399999999</v>
      </c>
      <c r="P124" s="62"/>
    </row>
    <row r="125" spans="1:16" s="29" customFormat="1" ht="12.75" hidden="1">
      <c r="A125" s="23" t="s">
        <v>65</v>
      </c>
      <c r="B125" s="250" t="s">
        <v>183</v>
      </c>
      <c r="C125" s="484">
        <f>Nov20!O125</f>
        <v>0</v>
      </c>
      <c r="D125" s="22">
        <f>Nov20!P125</f>
        <v>0</v>
      </c>
      <c r="E125" s="326"/>
      <c r="F125" s="62"/>
      <c r="G125" s="326"/>
      <c r="H125" s="62"/>
      <c r="I125" s="326"/>
      <c r="J125" s="62"/>
      <c r="K125" s="326"/>
      <c r="L125" s="62"/>
      <c r="M125" s="326"/>
      <c r="N125" s="62"/>
      <c r="O125" s="18">
        <f t="shared" si="2"/>
        <v>0</v>
      </c>
      <c r="P125" s="62"/>
    </row>
    <row r="126" spans="1:16" s="29" customFormat="1" ht="12.75" hidden="1">
      <c r="A126" s="23" t="s">
        <v>180</v>
      </c>
      <c r="B126" s="250" t="s">
        <v>181</v>
      </c>
      <c r="C126" s="484">
        <f>Nov20!O126</f>
        <v>0</v>
      </c>
      <c r="D126" s="22">
        <f>Nov20!P126</f>
        <v>0</v>
      </c>
      <c r="E126" s="326"/>
      <c r="F126" s="62"/>
      <c r="G126" s="326"/>
      <c r="H126" s="62"/>
      <c r="I126" s="326"/>
      <c r="J126" s="62"/>
      <c r="K126" s="326"/>
      <c r="L126" s="62"/>
      <c r="M126" s="326"/>
      <c r="N126" s="62"/>
      <c r="O126" s="18">
        <f t="shared" si="2"/>
        <v>0</v>
      </c>
      <c r="P126" s="62"/>
    </row>
    <row r="127" spans="1:16" s="29" customFormat="1" ht="12.75" hidden="1">
      <c r="A127" s="23" t="s">
        <v>184</v>
      </c>
      <c r="B127" s="250" t="s">
        <v>185</v>
      </c>
      <c r="C127" s="484">
        <f>Nov20!O127</f>
        <v>97413.83</v>
      </c>
      <c r="D127" s="22">
        <f>Nov20!P127</f>
        <v>0</v>
      </c>
      <c r="E127" s="326"/>
      <c r="F127" s="62"/>
      <c r="G127" s="326"/>
      <c r="H127" s="62"/>
      <c r="I127" s="326"/>
      <c r="J127" s="62"/>
      <c r="K127" s="326"/>
      <c r="L127" s="62"/>
      <c r="M127" s="326"/>
      <c r="N127" s="62"/>
      <c r="O127" s="18">
        <f t="shared" si="2"/>
        <v>97413.83</v>
      </c>
      <c r="P127" s="62"/>
    </row>
    <row r="128" spans="1:16" s="29" customFormat="1" ht="12.75" hidden="1">
      <c r="A128" s="23" t="s">
        <v>186</v>
      </c>
      <c r="B128" s="250" t="s">
        <v>204</v>
      </c>
      <c r="C128" s="484">
        <f>Nov20!O128</f>
        <v>0</v>
      </c>
      <c r="D128" s="22">
        <f>Nov20!P128</f>
        <v>0</v>
      </c>
      <c r="E128" s="326"/>
      <c r="F128" s="62"/>
      <c r="G128" s="326"/>
      <c r="H128" s="62"/>
      <c r="I128" s="326"/>
      <c r="J128" s="62"/>
      <c r="K128" s="326"/>
      <c r="L128" s="62"/>
      <c r="M128" s="326"/>
      <c r="N128" s="62"/>
      <c r="O128" s="18">
        <f t="shared" si="2"/>
        <v>0</v>
      </c>
      <c r="P128" s="62"/>
    </row>
    <row r="129" spans="1:16" s="29" customFormat="1" ht="12.75">
      <c r="A129" s="23" t="s">
        <v>219</v>
      </c>
      <c r="B129" s="250" t="s">
        <v>205</v>
      </c>
      <c r="C129" s="484">
        <f>Nov20!O129</f>
        <v>79441.25</v>
      </c>
      <c r="D129" s="22">
        <f>Nov20!P129</f>
        <v>0</v>
      </c>
      <c r="E129" s="326"/>
      <c r="F129" s="62"/>
      <c r="G129" s="326"/>
      <c r="H129" s="62"/>
      <c r="I129" s="326"/>
      <c r="J129" s="62"/>
      <c r="K129" s="326"/>
      <c r="L129" s="62"/>
      <c r="M129" s="326"/>
      <c r="N129" s="62"/>
      <c r="O129" s="18">
        <f t="shared" si="2"/>
        <v>79441.25</v>
      </c>
      <c r="P129" s="62"/>
    </row>
    <row r="130" spans="1:16" s="29" customFormat="1" ht="12.75">
      <c r="A130" s="23" t="s">
        <v>220</v>
      </c>
      <c r="B130" s="250" t="s">
        <v>206</v>
      </c>
      <c r="C130" s="484">
        <f>Nov20!O130</f>
        <v>162390</v>
      </c>
      <c r="D130" s="22">
        <f>Nov20!P130</f>
        <v>0</v>
      </c>
      <c r="E130" s="326"/>
      <c r="F130" s="62"/>
      <c r="G130" s="326"/>
      <c r="H130" s="62"/>
      <c r="I130" s="326"/>
      <c r="J130" s="62"/>
      <c r="K130" s="326"/>
      <c r="L130" s="62"/>
      <c r="M130" s="326"/>
      <c r="N130" s="62"/>
      <c r="O130" s="18">
        <f t="shared" si="2"/>
        <v>162390</v>
      </c>
      <c r="P130" s="62"/>
    </row>
    <row r="131" spans="1:16" s="29" customFormat="1" ht="12.75">
      <c r="A131" s="23" t="s">
        <v>584</v>
      </c>
      <c r="B131" s="250" t="s">
        <v>585</v>
      </c>
      <c r="C131" s="484">
        <f>Nov20!O131</f>
        <v>0</v>
      </c>
      <c r="D131" s="22">
        <f>Nov20!P131</f>
        <v>0</v>
      </c>
      <c r="E131" s="326"/>
      <c r="F131" s="62"/>
      <c r="G131" s="326"/>
      <c r="H131" s="62"/>
      <c r="I131" s="326"/>
      <c r="J131" s="62"/>
      <c r="K131" s="326"/>
      <c r="L131" s="62"/>
      <c r="M131" s="326"/>
      <c r="N131" s="62"/>
      <c r="O131" s="18">
        <f t="shared" si="2"/>
        <v>0</v>
      </c>
      <c r="P131" s="62"/>
    </row>
    <row r="132" spans="1:16" s="29" customFormat="1" ht="12.75">
      <c r="A132" s="23" t="s">
        <v>188</v>
      </c>
      <c r="B132" s="250" t="s">
        <v>189</v>
      </c>
      <c r="C132" s="484">
        <f>Nov20!O132</f>
        <v>0</v>
      </c>
      <c r="D132" s="22">
        <f>Nov20!P132</f>
        <v>0</v>
      </c>
      <c r="E132" s="326"/>
      <c r="F132" s="62"/>
      <c r="G132" s="326"/>
      <c r="H132" s="62"/>
      <c r="I132" s="326"/>
      <c r="J132" s="62"/>
      <c r="K132" s="326"/>
      <c r="L132" s="62"/>
      <c r="M132" s="326"/>
      <c r="N132" s="62"/>
      <c r="O132" s="18">
        <f t="shared" si="2"/>
        <v>0</v>
      </c>
      <c r="P132" s="62"/>
    </row>
    <row r="133" spans="1:16" s="29" customFormat="1" ht="12.75">
      <c r="A133" s="23" t="s">
        <v>229</v>
      </c>
      <c r="B133" s="250" t="s">
        <v>227</v>
      </c>
      <c r="C133" s="484">
        <f>Nov20!O133</f>
        <v>59589</v>
      </c>
      <c r="D133" s="22">
        <f>Nov20!P133</f>
        <v>0</v>
      </c>
      <c r="E133" s="326">
        <v>320</v>
      </c>
      <c r="F133" s="62"/>
      <c r="G133" s="326"/>
      <c r="H133" s="62"/>
      <c r="I133" s="326"/>
      <c r="J133" s="62"/>
      <c r="K133" s="326"/>
      <c r="L133" s="62"/>
      <c r="M133" s="326">
        <v>13000</v>
      </c>
      <c r="N133" s="62"/>
      <c r="O133" s="18">
        <f t="shared" si="2"/>
        <v>72909</v>
      </c>
      <c r="P133" s="62"/>
    </row>
    <row r="134" spans="1:16" s="29" customFormat="1" ht="12.75">
      <c r="A134" s="23" t="s">
        <v>797</v>
      </c>
      <c r="B134" s="250" t="s">
        <v>798</v>
      </c>
      <c r="C134" s="484">
        <f>Nov20!O134</f>
        <v>0</v>
      </c>
      <c r="D134" s="22">
        <f>Nov20!P134</f>
        <v>0</v>
      </c>
      <c r="E134" s="326">
        <v>995000</v>
      </c>
      <c r="F134" s="62"/>
      <c r="G134" s="326"/>
      <c r="H134" s="62"/>
      <c r="I134" s="326"/>
      <c r="J134" s="62"/>
      <c r="K134" s="326"/>
      <c r="L134" s="62"/>
      <c r="M134" s="326"/>
      <c r="N134" s="62"/>
      <c r="O134" s="18">
        <f t="shared" si="2"/>
        <v>995000</v>
      </c>
      <c r="P134" s="62"/>
    </row>
    <row r="135" spans="1:16" ht="12.75">
      <c r="A135" s="23" t="s">
        <v>796</v>
      </c>
      <c r="B135" s="250" t="s">
        <v>795</v>
      </c>
      <c r="C135" s="484">
        <f>Nov20!O135</f>
        <v>1279000</v>
      </c>
      <c r="D135" s="22">
        <f>Nov20!P135</f>
        <v>0</v>
      </c>
      <c r="E135" s="326">
        <v>1798702</v>
      </c>
      <c r="F135" s="62"/>
      <c r="G135" s="326"/>
      <c r="H135" s="62"/>
      <c r="I135" s="326"/>
      <c r="J135" s="62"/>
      <c r="K135" s="326"/>
      <c r="L135" s="62"/>
      <c r="M135" s="326"/>
      <c r="N135" s="62"/>
      <c r="O135" s="18">
        <f t="shared" si="2"/>
        <v>3077702</v>
      </c>
      <c r="P135" s="62"/>
    </row>
    <row r="136" spans="1:16" ht="12.75">
      <c r="A136" s="23" t="s">
        <v>233</v>
      </c>
      <c r="B136" s="250" t="s">
        <v>232</v>
      </c>
      <c r="C136" s="484">
        <f>Nov20!O136</f>
        <v>154668504.15</v>
      </c>
      <c r="D136" s="22">
        <f>Nov20!P136</f>
        <v>0</v>
      </c>
      <c r="E136" s="326">
        <v>36080532.66</v>
      </c>
      <c r="F136" s="62"/>
      <c r="G136" s="326"/>
      <c r="H136" s="62"/>
      <c r="I136" s="326"/>
      <c r="J136" s="62"/>
      <c r="K136" s="326"/>
      <c r="L136" s="62"/>
      <c r="M136" s="326">
        <v>192000</v>
      </c>
      <c r="N136" s="62"/>
      <c r="O136" s="18">
        <f t="shared" si="2"/>
        <v>190941036.81</v>
      </c>
      <c r="P136" s="62"/>
    </row>
    <row r="137" spans="1:16" ht="12.75">
      <c r="A137" s="23" t="s">
        <v>69</v>
      </c>
      <c r="B137" s="250" t="s">
        <v>191</v>
      </c>
      <c r="C137" s="484">
        <f>Nov20!O137</f>
        <v>45000</v>
      </c>
      <c r="D137" s="22">
        <f>Nov20!P137</f>
        <v>0</v>
      </c>
      <c r="E137" s="326"/>
      <c r="F137" s="62"/>
      <c r="G137" s="326"/>
      <c r="H137" s="62"/>
      <c r="I137" s="326"/>
      <c r="J137" s="62"/>
      <c r="K137" s="326"/>
      <c r="L137" s="62"/>
      <c r="M137" s="326"/>
      <c r="N137" s="62"/>
      <c r="O137" s="18">
        <f t="shared" si="2"/>
        <v>45000</v>
      </c>
      <c r="P137" s="62"/>
    </row>
    <row r="138" spans="1:16" ht="12.75">
      <c r="A138" s="23" t="s">
        <v>211</v>
      </c>
      <c r="B138" s="250" t="s">
        <v>212</v>
      </c>
      <c r="C138" s="484">
        <f>Nov20!O138</f>
        <v>23115</v>
      </c>
      <c r="D138" s="22">
        <f>Nov20!P138</f>
        <v>0</v>
      </c>
      <c r="E138" s="326"/>
      <c r="F138" s="62"/>
      <c r="G138" s="326"/>
      <c r="H138" s="62"/>
      <c r="I138" s="326"/>
      <c r="J138" s="62"/>
      <c r="K138" s="326"/>
      <c r="L138" s="62"/>
      <c r="M138" s="326"/>
      <c r="N138" s="62"/>
      <c r="O138" s="18">
        <f t="shared" si="2"/>
        <v>23115</v>
      </c>
      <c r="P138" s="62"/>
    </row>
    <row r="139" spans="1:16" ht="12.75">
      <c r="A139" s="23" t="s">
        <v>540</v>
      </c>
      <c r="B139" s="250" t="s">
        <v>523</v>
      </c>
      <c r="C139" s="484">
        <f>Nov20!O139</f>
        <v>0</v>
      </c>
      <c r="D139" s="22">
        <f>Nov20!P139</f>
        <v>0</v>
      </c>
      <c r="E139" s="326"/>
      <c r="F139" s="62"/>
      <c r="G139" s="326"/>
      <c r="H139" s="62"/>
      <c r="I139" s="326"/>
      <c r="J139" s="62"/>
      <c r="K139" s="326"/>
      <c r="L139" s="62"/>
      <c r="M139" s="326"/>
      <c r="N139" s="62"/>
      <c r="O139" s="18">
        <f t="shared" si="2"/>
        <v>0</v>
      </c>
      <c r="P139" s="62"/>
    </row>
    <row r="140" spans="1:16" ht="12.75">
      <c r="A140" s="23" t="s">
        <v>73</v>
      </c>
      <c r="B140" s="250" t="s">
        <v>192</v>
      </c>
      <c r="C140" s="484">
        <f>Nov20!O140</f>
        <v>664052.86</v>
      </c>
      <c r="D140" s="22">
        <f>Nov20!P140</f>
        <v>0</v>
      </c>
      <c r="E140" s="326">
        <v>108964.8</v>
      </c>
      <c r="F140" s="62"/>
      <c r="G140" s="326"/>
      <c r="H140" s="62"/>
      <c r="I140" s="326"/>
      <c r="J140" s="62"/>
      <c r="K140" s="326"/>
      <c r="L140" s="62"/>
      <c r="M140" s="326"/>
      <c r="N140" s="62"/>
      <c r="O140" s="18">
        <f t="shared" si="2"/>
        <v>773017.66</v>
      </c>
      <c r="P140" s="62"/>
    </row>
    <row r="141" spans="1:16" ht="12.75">
      <c r="A141" s="23" t="s">
        <v>38</v>
      </c>
      <c r="B141" s="250" t="s">
        <v>175</v>
      </c>
      <c r="C141" s="484">
        <f>Nov20!O141</f>
        <v>0</v>
      </c>
      <c r="D141" s="22">
        <f>Nov20!P141</f>
        <v>0</v>
      </c>
      <c r="E141" s="326"/>
      <c r="F141" s="62"/>
      <c r="G141" s="326"/>
      <c r="H141" s="62"/>
      <c r="I141" s="326"/>
      <c r="J141" s="62"/>
      <c r="K141" s="326"/>
      <c r="L141" s="62"/>
      <c r="M141" s="326"/>
      <c r="N141" s="62"/>
      <c r="O141" s="18">
        <f t="shared" si="2"/>
        <v>0</v>
      </c>
      <c r="P141" s="62"/>
    </row>
    <row r="142" spans="1:16" ht="12.75">
      <c r="A142" s="23" t="s">
        <v>62</v>
      </c>
      <c r="B142" s="250" t="s">
        <v>176</v>
      </c>
      <c r="C142" s="484">
        <f>Nov20!O142</f>
        <v>0</v>
      </c>
      <c r="D142" s="22">
        <f>Nov20!P142</f>
        <v>0</v>
      </c>
      <c r="E142" s="326"/>
      <c r="F142" s="62"/>
      <c r="G142" s="326"/>
      <c r="H142" s="62"/>
      <c r="I142" s="326"/>
      <c r="J142" s="62"/>
      <c r="K142" s="326"/>
      <c r="L142" s="62"/>
      <c r="M142" s="326"/>
      <c r="N142" s="62"/>
      <c r="O142" s="18">
        <f t="shared" si="2"/>
        <v>0</v>
      </c>
      <c r="P142" s="62"/>
    </row>
    <row r="143" spans="1:16" ht="12.75">
      <c r="A143" s="23" t="s">
        <v>63</v>
      </c>
      <c r="B143" s="250" t="s">
        <v>177</v>
      </c>
      <c r="C143" s="484">
        <f>Nov20!O143</f>
        <v>2480</v>
      </c>
      <c r="D143" s="22">
        <f>Nov20!P143</f>
        <v>0</v>
      </c>
      <c r="E143" s="326">
        <v>5607.28</v>
      </c>
      <c r="F143" s="62"/>
      <c r="G143" s="326"/>
      <c r="H143" s="62"/>
      <c r="I143" s="326"/>
      <c r="J143" s="62"/>
      <c r="K143" s="326"/>
      <c r="L143" s="62"/>
      <c r="M143" s="326">
        <v>93.8</v>
      </c>
      <c r="N143" s="62"/>
      <c r="O143" s="18">
        <f t="shared" si="2"/>
        <v>8181.08</v>
      </c>
      <c r="P143" s="62"/>
    </row>
    <row r="144" spans="1:16" ht="12.75">
      <c r="A144" s="23" t="s">
        <v>560</v>
      </c>
      <c r="B144" s="250" t="s">
        <v>561</v>
      </c>
      <c r="C144" s="484">
        <f>Nov20!O144</f>
        <v>1105</v>
      </c>
      <c r="D144" s="22">
        <f>Nov20!P144</f>
        <v>0</v>
      </c>
      <c r="E144" s="326"/>
      <c r="F144" s="62"/>
      <c r="G144" s="326"/>
      <c r="H144" s="62"/>
      <c r="I144" s="326"/>
      <c r="J144" s="62"/>
      <c r="K144" s="326"/>
      <c r="L144" s="62"/>
      <c r="M144" s="328"/>
      <c r="N144" s="62"/>
      <c r="O144" s="18">
        <f t="shared" si="2"/>
        <v>1105</v>
      </c>
      <c r="P144" s="62"/>
    </row>
    <row r="145" spans="1:16" ht="12.75">
      <c r="A145" s="23" t="s">
        <v>53</v>
      </c>
      <c r="B145" s="250" t="s">
        <v>528</v>
      </c>
      <c r="C145" s="484">
        <f>Nov20!O145</f>
        <v>691764.69</v>
      </c>
      <c r="D145" s="22">
        <f>Nov20!P145</f>
        <v>0</v>
      </c>
      <c r="E145" s="326">
        <v>230588.22</v>
      </c>
      <c r="F145" s="62"/>
      <c r="G145" s="326"/>
      <c r="H145" s="62"/>
      <c r="I145" s="326"/>
      <c r="J145" s="62"/>
      <c r="K145" s="326"/>
      <c r="L145" s="62"/>
      <c r="M145" s="328"/>
      <c r="N145" s="62"/>
      <c r="O145" s="18">
        <f t="shared" si="2"/>
        <v>922352.9099999999</v>
      </c>
      <c r="P145" s="62"/>
    </row>
    <row r="146" spans="1:16" ht="12.75">
      <c r="A146" s="23" t="s">
        <v>701</v>
      </c>
      <c r="B146" s="250" t="s">
        <v>702</v>
      </c>
      <c r="C146" s="484">
        <f>Nov20!O146</f>
        <v>0</v>
      </c>
      <c r="D146" s="22">
        <f>Nov20!P146</f>
        <v>0</v>
      </c>
      <c r="E146" s="326"/>
      <c r="F146" s="62"/>
      <c r="G146" s="326"/>
      <c r="H146" s="62"/>
      <c r="I146" s="326"/>
      <c r="J146" s="62"/>
      <c r="K146" s="326"/>
      <c r="L146" s="62"/>
      <c r="M146" s="328"/>
      <c r="N146" s="62"/>
      <c r="O146" s="18">
        <f t="shared" si="2"/>
        <v>0</v>
      </c>
      <c r="P146" s="62"/>
    </row>
    <row r="147" spans="1:16" ht="12.75">
      <c r="A147" s="23" t="s">
        <v>68</v>
      </c>
      <c r="B147" s="250" t="s">
        <v>174</v>
      </c>
      <c r="C147" s="484">
        <f>Nov20!O147</f>
        <v>0</v>
      </c>
      <c r="D147" s="22">
        <f>Nov20!P147</f>
        <v>0</v>
      </c>
      <c r="E147" s="326"/>
      <c r="F147" s="62"/>
      <c r="G147" s="326"/>
      <c r="H147" s="62"/>
      <c r="I147" s="326"/>
      <c r="J147" s="62"/>
      <c r="K147" s="326"/>
      <c r="L147" s="62"/>
      <c r="M147" s="326"/>
      <c r="N147" s="62"/>
      <c r="O147" s="18">
        <f t="shared" si="2"/>
        <v>0</v>
      </c>
      <c r="P147" s="62"/>
    </row>
    <row r="148" spans="1:16" ht="12.75">
      <c r="A148" s="8" t="s">
        <v>805</v>
      </c>
      <c r="B148" s="250" t="s">
        <v>806</v>
      </c>
      <c r="C148" s="484">
        <f>Nov20!O148</f>
        <v>0</v>
      </c>
      <c r="D148" s="22">
        <f>Nov20!P148</f>
        <v>0</v>
      </c>
      <c r="E148" s="326"/>
      <c r="F148" s="62"/>
      <c r="G148" s="326"/>
      <c r="H148" s="62"/>
      <c r="I148" s="326"/>
      <c r="J148" s="62"/>
      <c r="K148" s="326"/>
      <c r="L148" s="62"/>
      <c r="M148" s="328">
        <v>7260</v>
      </c>
      <c r="N148" s="62"/>
      <c r="O148" s="18">
        <f aca="true" t="shared" si="3" ref="O148:O157">C148+E148+I148+M148-D148-F148-J148-N148+G148-H148+K148-L148</f>
        <v>7260</v>
      </c>
      <c r="P148" s="62"/>
    </row>
    <row r="149" spans="1:16" ht="12.75">
      <c r="A149" s="23" t="s">
        <v>23</v>
      </c>
      <c r="B149" s="250" t="s">
        <v>524</v>
      </c>
      <c r="C149" s="484">
        <f>Nov20!O149</f>
        <v>945248.7700000001</v>
      </c>
      <c r="D149" s="22">
        <f>Nov20!P149</f>
        <v>0</v>
      </c>
      <c r="E149" s="326">
        <v>837199.03</v>
      </c>
      <c r="F149" s="62"/>
      <c r="G149" s="326"/>
      <c r="H149" s="62"/>
      <c r="I149" s="326"/>
      <c r="J149" s="62"/>
      <c r="K149" s="326"/>
      <c r="L149" s="62"/>
      <c r="M149" s="326">
        <v>620</v>
      </c>
      <c r="N149" s="62"/>
      <c r="O149" s="18">
        <f t="shared" si="3"/>
        <v>1783067.8000000003</v>
      </c>
      <c r="P149" s="62"/>
    </row>
    <row r="150" spans="1:16" ht="12.75">
      <c r="A150" s="8" t="s">
        <v>81</v>
      </c>
      <c r="B150" s="250" t="s">
        <v>804</v>
      </c>
      <c r="C150" s="484">
        <f>Nov20!O150</f>
        <v>0</v>
      </c>
      <c r="D150" s="22">
        <f>Nov20!P150</f>
        <v>0</v>
      </c>
      <c r="E150" s="326"/>
      <c r="F150" s="62"/>
      <c r="G150" s="326"/>
      <c r="H150" s="62"/>
      <c r="I150" s="326"/>
      <c r="J150" s="62"/>
      <c r="K150" s="326"/>
      <c r="L150" s="62"/>
      <c r="M150" s="326">
        <v>125574.17</v>
      </c>
      <c r="N150" s="62"/>
      <c r="O150" s="18">
        <f t="shared" si="3"/>
        <v>125574.17</v>
      </c>
      <c r="P150" s="62"/>
    </row>
    <row r="151" spans="1:16" ht="12.75">
      <c r="A151" s="8" t="s">
        <v>214</v>
      </c>
      <c r="B151" s="250" t="s">
        <v>574</v>
      </c>
      <c r="C151" s="484">
        <f>Nov20!O151</f>
        <v>0</v>
      </c>
      <c r="D151" s="22">
        <f>Nov20!P151</f>
        <v>0</v>
      </c>
      <c r="E151" s="326"/>
      <c r="F151" s="62"/>
      <c r="G151" s="326"/>
      <c r="H151" s="62"/>
      <c r="I151" s="326"/>
      <c r="J151" s="62"/>
      <c r="K151" s="326"/>
      <c r="L151" s="62"/>
      <c r="M151" s="326">
        <v>229529.5</v>
      </c>
      <c r="N151" s="62"/>
      <c r="O151" s="18">
        <f t="shared" si="3"/>
        <v>229529.5</v>
      </c>
      <c r="P151" s="62"/>
    </row>
    <row r="152" spans="1:16" ht="12.75">
      <c r="A152" s="8" t="s">
        <v>77</v>
      </c>
      <c r="B152" s="250" t="s">
        <v>575</v>
      </c>
      <c r="C152" s="484">
        <f>Nov20!O152</f>
        <v>0</v>
      </c>
      <c r="D152" s="22">
        <f>Nov20!P152</f>
        <v>0</v>
      </c>
      <c r="E152" s="326"/>
      <c r="F152" s="62"/>
      <c r="G152" s="326"/>
      <c r="H152" s="62"/>
      <c r="I152" s="326"/>
      <c r="J152" s="62"/>
      <c r="K152" s="326"/>
      <c r="L152" s="62"/>
      <c r="M152" s="326">
        <v>58222.23</v>
      </c>
      <c r="N152" s="62"/>
      <c r="O152" s="18">
        <f t="shared" si="3"/>
        <v>58222.23</v>
      </c>
      <c r="P152" s="62"/>
    </row>
    <row r="153" spans="1:16" ht="12.75">
      <c r="A153" s="8" t="s">
        <v>78</v>
      </c>
      <c r="B153" s="250" t="s">
        <v>576</v>
      </c>
      <c r="C153" s="484">
        <f>Nov20!O153</f>
        <v>0</v>
      </c>
      <c r="D153" s="22">
        <f>Nov20!P153</f>
        <v>0</v>
      </c>
      <c r="E153" s="326"/>
      <c r="F153" s="62"/>
      <c r="G153" s="326"/>
      <c r="H153" s="62"/>
      <c r="I153" s="326"/>
      <c r="J153" s="62"/>
      <c r="K153" s="326"/>
      <c r="L153" s="62"/>
      <c r="M153" s="326">
        <v>160832.09</v>
      </c>
      <c r="N153" s="62"/>
      <c r="O153" s="18">
        <f t="shared" si="3"/>
        <v>160832.09</v>
      </c>
      <c r="P153" s="62"/>
    </row>
    <row r="154" spans="1:16" ht="12.75">
      <c r="A154" s="8" t="s">
        <v>801</v>
      </c>
      <c r="B154" s="250" t="s">
        <v>802</v>
      </c>
      <c r="C154" s="484">
        <f>Nov20!O154</f>
        <v>663087.81</v>
      </c>
      <c r="D154" s="22">
        <f>Nov20!P154</f>
        <v>0</v>
      </c>
      <c r="E154" s="326"/>
      <c r="F154" s="62"/>
      <c r="G154" s="326"/>
      <c r="H154" s="62"/>
      <c r="I154" s="326"/>
      <c r="J154" s="62"/>
      <c r="K154" s="326"/>
      <c r="L154" s="62"/>
      <c r="M154" s="326">
        <v>117688.95</v>
      </c>
      <c r="N154" s="62"/>
      <c r="O154" s="18">
        <f t="shared" si="3"/>
        <v>780776.76</v>
      </c>
      <c r="P154" s="62"/>
    </row>
    <row r="155" spans="1:16" ht="12.75">
      <c r="A155" s="8" t="s">
        <v>803</v>
      </c>
      <c r="B155" s="250" t="s">
        <v>579</v>
      </c>
      <c r="C155" s="484">
        <f>Nov20!O155</f>
        <v>8939.43</v>
      </c>
      <c r="D155" s="22">
        <f>Nov20!P155</f>
        <v>0</v>
      </c>
      <c r="E155" s="326"/>
      <c r="F155" s="62"/>
      <c r="G155" s="326"/>
      <c r="H155" s="62"/>
      <c r="I155" s="326"/>
      <c r="J155" s="62"/>
      <c r="K155" s="326"/>
      <c r="L155" s="62"/>
      <c r="M155" s="326">
        <v>12734.92</v>
      </c>
      <c r="N155" s="62"/>
      <c r="O155" s="18">
        <f t="shared" si="3"/>
        <v>21674.35</v>
      </c>
      <c r="P155" s="62"/>
    </row>
    <row r="156" spans="1:16" ht="12.75">
      <c r="A156" s="8" t="s">
        <v>580</v>
      </c>
      <c r="B156" s="250" t="s">
        <v>581</v>
      </c>
      <c r="C156" s="484">
        <f>Nov20!O156</f>
        <v>0</v>
      </c>
      <c r="D156" s="22">
        <f>Nov20!P156</f>
        <v>0</v>
      </c>
      <c r="E156" s="326"/>
      <c r="F156" s="62"/>
      <c r="G156" s="326"/>
      <c r="H156" s="62"/>
      <c r="I156" s="326"/>
      <c r="J156" s="62"/>
      <c r="K156" s="326"/>
      <c r="L156" s="62"/>
      <c r="M156" s="326">
        <v>5117.84</v>
      </c>
      <c r="N156" s="62"/>
      <c r="O156" s="18">
        <f t="shared" si="3"/>
        <v>5117.84</v>
      </c>
      <c r="P156" s="62"/>
    </row>
    <row r="157" spans="1:16" ht="13.5" thickBot="1">
      <c r="A157" s="8" t="s">
        <v>737</v>
      </c>
      <c r="B157" s="510" t="s">
        <v>582</v>
      </c>
      <c r="C157" s="484">
        <f>Nov20!O157</f>
        <v>0</v>
      </c>
      <c r="D157" s="22">
        <f>Nov20!P157</f>
        <v>0</v>
      </c>
      <c r="E157" s="326"/>
      <c r="F157" s="62"/>
      <c r="G157" s="326"/>
      <c r="H157" s="62"/>
      <c r="I157" s="338"/>
      <c r="J157" s="226"/>
      <c r="K157" s="326"/>
      <c r="L157" s="62"/>
      <c r="M157" s="499">
        <v>47947.91</v>
      </c>
      <c r="N157" s="62"/>
      <c r="O157" s="273">
        <f t="shared" si="3"/>
        <v>47947.91</v>
      </c>
      <c r="P157" s="62"/>
    </row>
    <row r="158" spans="1:16" ht="13.5" thickBot="1">
      <c r="A158" s="256"/>
      <c r="B158" s="257"/>
      <c r="C158" s="258">
        <f>SUM(C14:C157)</f>
        <v>303496738.96</v>
      </c>
      <c r="D158" s="259">
        <f>SUM(D14:D157)</f>
        <v>303496738.96</v>
      </c>
      <c r="E158" s="258">
        <f aca="true" t="shared" si="4" ref="E158:P158">SUM(E14:E157)</f>
        <v>47121268.989999995</v>
      </c>
      <c r="F158" s="259">
        <f t="shared" si="4"/>
        <v>47121268.99000001</v>
      </c>
      <c r="G158" s="258">
        <f t="shared" si="4"/>
        <v>0</v>
      </c>
      <c r="H158" s="259">
        <f t="shared" si="4"/>
        <v>0</v>
      </c>
      <c r="I158" s="258">
        <f t="shared" si="4"/>
        <v>0</v>
      </c>
      <c r="J158" s="259">
        <f t="shared" si="4"/>
        <v>0</v>
      </c>
      <c r="K158" s="258">
        <f t="shared" si="4"/>
        <v>2110162.77</v>
      </c>
      <c r="L158" s="259">
        <f t="shared" si="4"/>
        <v>2110162.77</v>
      </c>
      <c r="M158" s="258">
        <f t="shared" si="4"/>
        <v>34502273.23</v>
      </c>
      <c r="N158" s="259">
        <f t="shared" si="4"/>
        <v>34502273.23</v>
      </c>
      <c r="O158" s="258">
        <f t="shared" si="4"/>
        <v>336286918.52000004</v>
      </c>
      <c r="P158" s="259">
        <f t="shared" si="4"/>
        <v>336286918.52</v>
      </c>
    </row>
    <row r="159" spans="4:16" ht="12.75">
      <c r="D159" s="31">
        <f>C158-D158</f>
        <v>0</v>
      </c>
      <c r="F159" s="31">
        <f>E158-F158</f>
        <v>0</v>
      </c>
      <c r="H159" s="31">
        <f>G158-H158</f>
        <v>0</v>
      </c>
      <c r="J159" s="31">
        <f>I158-J158</f>
        <v>0</v>
      </c>
      <c r="L159" s="31">
        <f>K158-L158</f>
        <v>0</v>
      </c>
      <c r="N159" s="31">
        <f>M158-N158</f>
        <v>0</v>
      </c>
      <c r="P159" s="31">
        <f>O158-P158</f>
        <v>0</v>
      </c>
    </row>
    <row r="162" spans="1:15" ht="12.75">
      <c r="A162" s="17" t="s">
        <v>658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0" t="s">
        <v>712</v>
      </c>
    </row>
    <row r="163" spans="1:16" ht="12.75">
      <c r="A163" s="16" t="s">
        <v>210</v>
      </c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567" t="s">
        <v>224</v>
      </c>
      <c r="P163" s="567"/>
    </row>
  </sheetData>
  <sheetProtection/>
  <mergeCells count="15">
    <mergeCell ref="A2:P2"/>
    <mergeCell ref="A3:P3"/>
    <mergeCell ref="A5:P5"/>
    <mergeCell ref="A6:P6"/>
    <mergeCell ref="A7:P7"/>
    <mergeCell ref="A8:P8"/>
    <mergeCell ref="O163:P163"/>
    <mergeCell ref="A9:P9"/>
    <mergeCell ref="C10:D10"/>
    <mergeCell ref="E10:F10"/>
    <mergeCell ref="G10:H10"/>
    <mergeCell ref="I10:J10"/>
    <mergeCell ref="K10:L10"/>
    <mergeCell ref="M10:N10"/>
    <mergeCell ref="O10:P10"/>
  </mergeCells>
  <printOptions/>
  <pageMargins left="0.73" right="0.13" top="0.64" bottom="0.3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53">
      <selection activeCell="H69" sqref="H69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7.7109375" style="30" hidden="1" customWidth="1"/>
    <col min="5" max="5" width="17.7109375" style="29" hidden="1" customWidth="1"/>
    <col min="6" max="6" width="17.7109375" style="30" hidden="1" customWidth="1"/>
    <col min="7" max="8" width="17.7109375" style="30" customWidth="1"/>
    <col min="9" max="16384" width="9.140625" style="30" customWidth="1"/>
  </cols>
  <sheetData>
    <row r="1" ht="12.75">
      <c r="D1" s="33" t="s">
        <v>0</v>
      </c>
    </row>
    <row r="2" spans="1:8" ht="15.75">
      <c r="A2" s="540" t="s">
        <v>1</v>
      </c>
      <c r="B2" s="540"/>
      <c r="C2" s="540"/>
      <c r="D2" s="540"/>
      <c r="E2" s="540"/>
      <c r="F2" s="540"/>
      <c r="G2" s="540"/>
      <c r="H2" s="540"/>
    </row>
    <row r="3" spans="1:8" ht="12.75">
      <c r="A3" s="536" t="s">
        <v>74</v>
      </c>
      <c r="B3" s="536"/>
      <c r="C3" s="536"/>
      <c r="D3" s="536"/>
      <c r="E3" s="536"/>
      <c r="F3" s="536"/>
      <c r="G3" s="536"/>
      <c r="H3" s="536"/>
    </row>
    <row r="4" ht="12.75" customHeight="1"/>
    <row r="5" spans="1:8" ht="15.75">
      <c r="A5" s="540" t="s">
        <v>743</v>
      </c>
      <c r="B5" s="540"/>
      <c r="C5" s="540"/>
      <c r="D5" s="540"/>
      <c r="E5" s="540"/>
      <c r="F5" s="540"/>
      <c r="G5" s="540"/>
      <c r="H5" s="540"/>
    </row>
    <row r="6" spans="1:8" ht="12.75">
      <c r="A6" s="536" t="s">
        <v>777</v>
      </c>
      <c r="B6" s="536"/>
      <c r="C6" s="536"/>
      <c r="D6" s="536"/>
      <c r="E6" s="536"/>
      <c r="F6" s="536"/>
      <c r="G6" s="536"/>
      <c r="H6" s="536"/>
    </row>
    <row r="7" spans="1:8" ht="12.75">
      <c r="A7" s="536" t="s">
        <v>2</v>
      </c>
      <c r="B7" s="536"/>
      <c r="C7" s="536"/>
      <c r="D7" s="536"/>
      <c r="E7" s="536"/>
      <c r="F7" s="536"/>
      <c r="G7" s="536"/>
      <c r="H7" s="536"/>
    </row>
    <row r="8" spans="1:8" ht="12.75">
      <c r="A8" s="536" t="s">
        <v>3</v>
      </c>
      <c r="B8" s="536"/>
      <c r="C8" s="536"/>
      <c r="D8" s="536"/>
      <c r="E8" s="536"/>
      <c r="F8" s="536"/>
      <c r="G8" s="536"/>
      <c r="H8" s="536"/>
    </row>
    <row r="9" spans="1:4" ht="13.5" thickBot="1">
      <c r="A9" s="536"/>
      <c r="B9" s="536"/>
      <c r="C9" s="536"/>
      <c r="D9" s="536"/>
    </row>
    <row r="10" spans="1:8" ht="15.75">
      <c r="A10" s="585" t="s">
        <v>5</v>
      </c>
      <c r="B10" s="340" t="s">
        <v>4</v>
      </c>
      <c r="C10" s="583" t="s">
        <v>7</v>
      </c>
      <c r="D10" s="556" t="s">
        <v>8</v>
      </c>
      <c r="E10" s="583" t="s">
        <v>7</v>
      </c>
      <c r="F10" s="583" t="s">
        <v>8</v>
      </c>
      <c r="G10" s="583" t="s">
        <v>7</v>
      </c>
      <c r="H10" s="583" t="s">
        <v>8</v>
      </c>
    </row>
    <row r="11" spans="1:8" ht="15.75">
      <c r="A11" s="586"/>
      <c r="B11" s="341" t="s">
        <v>6</v>
      </c>
      <c r="C11" s="587"/>
      <c r="D11" s="588"/>
      <c r="E11" s="584"/>
      <c r="F11" s="584"/>
      <c r="G11" s="584"/>
      <c r="H11" s="584"/>
    </row>
    <row r="12" spans="1:8" ht="13.5" customHeight="1">
      <c r="A12" s="522"/>
      <c r="B12" s="523"/>
      <c r="C12" s="342"/>
      <c r="D12" s="342"/>
      <c r="E12" s="343"/>
      <c r="F12" s="343"/>
      <c r="G12" s="343"/>
      <c r="H12" s="343"/>
    </row>
    <row r="13" spans="1:8" ht="12.75" customHeight="1">
      <c r="A13" s="4" t="s">
        <v>9</v>
      </c>
      <c r="B13" s="505"/>
      <c r="C13" s="115"/>
      <c r="D13" s="115"/>
      <c r="E13" s="343"/>
      <c r="F13" s="343"/>
      <c r="G13" s="343"/>
      <c r="H13" s="343"/>
    </row>
    <row r="14" spans="1:8" ht="12.75">
      <c r="A14" s="102" t="s">
        <v>678</v>
      </c>
      <c r="B14" s="506" t="s">
        <v>679</v>
      </c>
      <c r="C14" s="350">
        <f>Dec20!O14</f>
        <v>0</v>
      </c>
      <c r="D14" s="350">
        <f>Dec20!P14</f>
        <v>0</v>
      </c>
      <c r="E14" s="344"/>
      <c r="F14" s="344"/>
      <c r="G14" s="500">
        <f>C14+E14-D14-F14</f>
        <v>0</v>
      </c>
      <c r="H14" s="10"/>
    </row>
    <row r="15" spans="1:8" s="29" customFormat="1" ht="12.75">
      <c r="A15" s="49" t="s">
        <v>101</v>
      </c>
      <c r="B15" s="506" t="s">
        <v>100</v>
      </c>
      <c r="C15" s="350">
        <f>Dec20!O15</f>
        <v>20000</v>
      </c>
      <c r="D15" s="350">
        <f>Dec20!P15</f>
        <v>0</v>
      </c>
      <c r="E15" s="344"/>
      <c r="F15" s="344"/>
      <c r="G15" s="500">
        <f>C15+E15-D15-F15</f>
        <v>20000</v>
      </c>
      <c r="H15" s="10"/>
    </row>
    <row r="16" spans="1:8" s="29" customFormat="1" ht="12.75">
      <c r="A16" s="49" t="s">
        <v>589</v>
      </c>
      <c r="B16" s="506" t="s">
        <v>230</v>
      </c>
      <c r="C16" s="350">
        <f>Dec20!O16</f>
        <v>333912.42</v>
      </c>
      <c r="D16" s="350">
        <f>Dec20!P16</f>
        <v>0</v>
      </c>
      <c r="E16" s="344"/>
      <c r="F16" s="344">
        <v>333912.42</v>
      </c>
      <c r="G16" s="500">
        <f aca="true" t="shared" si="0" ref="G16:G33">C16+E16-D16-F16</f>
        <v>0</v>
      </c>
      <c r="H16" s="10"/>
    </row>
    <row r="17" spans="1:8" s="29" customFormat="1" ht="12.75">
      <c r="A17" s="49" t="s">
        <v>636</v>
      </c>
      <c r="B17" s="506" t="s">
        <v>590</v>
      </c>
      <c r="C17" s="350">
        <f>Dec20!O17</f>
        <v>21573113.93</v>
      </c>
      <c r="D17" s="350">
        <f>Dec20!P17</f>
        <v>0</v>
      </c>
      <c r="E17" s="344"/>
      <c r="F17" s="344">
        <v>21573113.93</v>
      </c>
      <c r="G17" s="500">
        <f t="shared" si="0"/>
        <v>0</v>
      </c>
      <c r="H17" s="10"/>
    </row>
    <row r="18" spans="1:8" s="29" customFormat="1" ht="12.75">
      <c r="A18" s="49" t="s">
        <v>103</v>
      </c>
      <c r="B18" s="506" t="s">
        <v>102</v>
      </c>
      <c r="C18" s="350">
        <f>Dec20!O18</f>
        <v>25689.869999967515</v>
      </c>
      <c r="D18" s="350">
        <f>Dec20!P18</f>
        <v>0</v>
      </c>
      <c r="E18" s="344"/>
      <c r="F18" s="344"/>
      <c r="G18" s="500">
        <f t="shared" si="0"/>
        <v>25689.869999967515</v>
      </c>
      <c r="H18" s="10"/>
    </row>
    <row r="19" spans="1:8" s="29" customFormat="1" ht="12.75">
      <c r="A19" s="49" t="s">
        <v>10</v>
      </c>
      <c r="B19" s="506" t="s">
        <v>104</v>
      </c>
      <c r="C19" s="350">
        <f>Dec20!O19</f>
        <v>4221011.780000001</v>
      </c>
      <c r="D19" s="350">
        <f>Dec20!P19</f>
        <v>0</v>
      </c>
      <c r="E19" s="344"/>
      <c r="F19" s="344"/>
      <c r="G19" s="500">
        <f t="shared" si="0"/>
        <v>4221011.780000001</v>
      </c>
      <c r="H19" s="10"/>
    </row>
    <row r="20" spans="1:8" s="29" customFormat="1" ht="12.75" customHeight="1">
      <c r="A20" s="49" t="s">
        <v>567</v>
      </c>
      <c r="B20" s="506" t="s">
        <v>568</v>
      </c>
      <c r="C20" s="350">
        <f>Dec20!O20</f>
        <v>22237581.29</v>
      </c>
      <c r="D20" s="350">
        <f>Dec20!P20</f>
        <v>0</v>
      </c>
      <c r="E20" s="344"/>
      <c r="F20" s="344"/>
      <c r="G20" s="500">
        <f t="shared" si="0"/>
        <v>22237581.29</v>
      </c>
      <c r="H20" s="12"/>
    </row>
    <row r="21" spans="1:8" s="29" customFormat="1" ht="12.75" customHeight="1">
      <c r="A21" s="49" t="s">
        <v>734</v>
      </c>
      <c r="B21" s="506" t="s">
        <v>735</v>
      </c>
      <c r="C21" s="350">
        <f>Dec20!O21</f>
        <v>966526.4</v>
      </c>
      <c r="D21" s="350">
        <f>Dec20!P21</f>
        <v>0</v>
      </c>
      <c r="E21" s="344"/>
      <c r="F21" s="344"/>
      <c r="G21" s="500">
        <f t="shared" si="0"/>
        <v>966526.4</v>
      </c>
      <c r="H21" s="12"/>
    </row>
    <row r="22" spans="1:8" s="29" customFormat="1" ht="12.75" customHeight="1">
      <c r="A22" s="49" t="s">
        <v>11</v>
      </c>
      <c r="B22" s="506" t="s">
        <v>105</v>
      </c>
      <c r="C22" s="350">
        <f>Dec20!O22</f>
        <v>101354</v>
      </c>
      <c r="D22" s="350">
        <f>Dec20!P22</f>
        <v>0</v>
      </c>
      <c r="E22" s="344"/>
      <c r="F22" s="344"/>
      <c r="G22" s="500">
        <f t="shared" si="0"/>
        <v>101354</v>
      </c>
      <c r="H22" s="12"/>
    </row>
    <row r="23" spans="1:8" s="29" customFormat="1" ht="12.75" customHeight="1">
      <c r="A23" s="74" t="s">
        <v>108</v>
      </c>
      <c r="B23" s="507" t="s">
        <v>106</v>
      </c>
      <c r="C23" s="350">
        <f>Dec20!O23</f>
        <v>0</v>
      </c>
      <c r="D23" s="350">
        <f>Dec20!P23</f>
        <v>0</v>
      </c>
      <c r="E23" s="344"/>
      <c r="F23" s="344"/>
      <c r="G23" s="500">
        <f t="shared" si="0"/>
        <v>0</v>
      </c>
      <c r="H23" s="12"/>
    </row>
    <row r="24" spans="1:8" s="29" customFormat="1" ht="12.75" customHeight="1">
      <c r="A24" s="49" t="s">
        <v>109</v>
      </c>
      <c r="B24" s="506" t="s">
        <v>107</v>
      </c>
      <c r="C24" s="350">
        <f>Dec20!O24</f>
        <v>0</v>
      </c>
      <c r="D24" s="350">
        <f>Dec20!P24</f>
        <v>0</v>
      </c>
      <c r="E24" s="344"/>
      <c r="F24" s="344"/>
      <c r="G24" s="500">
        <f t="shared" si="0"/>
        <v>0</v>
      </c>
      <c r="H24" s="12"/>
    </row>
    <row r="25" spans="1:8" s="29" customFormat="1" ht="12.75" customHeight="1">
      <c r="A25" s="49" t="s">
        <v>239</v>
      </c>
      <c r="B25" s="506" t="s">
        <v>240</v>
      </c>
      <c r="C25" s="350">
        <f>Dec20!O25</f>
        <v>0</v>
      </c>
      <c r="D25" s="350">
        <f>Dec20!P25</f>
        <v>0</v>
      </c>
      <c r="E25" s="344"/>
      <c r="F25" s="344"/>
      <c r="G25" s="500">
        <f t="shared" si="0"/>
        <v>0</v>
      </c>
      <c r="H25" s="12"/>
    </row>
    <row r="26" spans="1:8" s="29" customFormat="1" ht="12.75" customHeight="1">
      <c r="A26" s="49" t="s">
        <v>238</v>
      </c>
      <c r="B26" s="506" t="s">
        <v>231</v>
      </c>
      <c r="C26" s="350">
        <f>Dec20!O26</f>
        <v>0</v>
      </c>
      <c r="D26" s="350">
        <f>Dec20!P26</f>
        <v>0</v>
      </c>
      <c r="E26" s="344"/>
      <c r="F26" s="344"/>
      <c r="G26" s="500">
        <f t="shared" si="0"/>
        <v>0</v>
      </c>
      <c r="H26" s="12"/>
    </row>
    <row r="27" spans="1:8" s="29" customFormat="1" ht="12.75" customHeight="1">
      <c r="A27" s="49" t="s">
        <v>534</v>
      </c>
      <c r="B27" s="506" t="s">
        <v>526</v>
      </c>
      <c r="C27" s="350">
        <f>Dec20!O27</f>
        <v>0</v>
      </c>
      <c r="D27" s="350">
        <f>Dec20!P27</f>
        <v>0</v>
      </c>
      <c r="E27" s="344"/>
      <c r="F27" s="344"/>
      <c r="G27" s="500">
        <f t="shared" si="0"/>
        <v>0</v>
      </c>
      <c r="H27" s="12"/>
    </row>
    <row r="28" spans="1:8" s="29" customFormat="1" ht="12.75" customHeight="1">
      <c r="A28" s="49" t="s">
        <v>732</v>
      </c>
      <c r="B28" s="506" t="s">
        <v>520</v>
      </c>
      <c r="C28" s="350">
        <f>Dec20!O28</f>
        <v>0</v>
      </c>
      <c r="D28" s="350">
        <f>Dec20!P28</f>
        <v>0</v>
      </c>
      <c r="E28" s="344"/>
      <c r="F28" s="344"/>
      <c r="G28" s="500">
        <f t="shared" si="0"/>
        <v>0</v>
      </c>
      <c r="H28" s="12"/>
    </row>
    <row r="29" spans="1:8" s="29" customFormat="1" ht="12.75" customHeight="1">
      <c r="A29" s="49" t="s">
        <v>213</v>
      </c>
      <c r="B29" s="506" t="s">
        <v>209</v>
      </c>
      <c r="C29" s="350">
        <f>Dec20!O29</f>
        <v>0</v>
      </c>
      <c r="D29" s="350">
        <f>Dec20!P29</f>
        <v>0</v>
      </c>
      <c r="E29" s="344"/>
      <c r="F29" s="344"/>
      <c r="G29" s="500">
        <f t="shared" si="0"/>
        <v>0</v>
      </c>
      <c r="H29" s="12"/>
    </row>
    <row r="30" spans="1:8" s="29" customFormat="1" ht="12.75" customHeight="1">
      <c r="A30" s="49" t="s">
        <v>201</v>
      </c>
      <c r="B30" s="506" t="s">
        <v>200</v>
      </c>
      <c r="C30" s="350">
        <f>Dec20!O30</f>
        <v>0</v>
      </c>
      <c r="D30" s="350">
        <f>Dec20!P30</f>
        <v>0</v>
      </c>
      <c r="E30" s="344"/>
      <c r="F30" s="344"/>
      <c r="G30" s="500">
        <f t="shared" si="0"/>
        <v>0</v>
      </c>
      <c r="H30" s="12"/>
    </row>
    <row r="31" spans="1:8" s="29" customFormat="1" ht="12.75">
      <c r="A31" s="49" t="s">
        <v>202</v>
      </c>
      <c r="B31" s="506" t="s">
        <v>203</v>
      </c>
      <c r="C31" s="350">
        <f>Dec20!O31</f>
        <v>10678</v>
      </c>
      <c r="D31" s="350">
        <f>Dec20!P31</f>
        <v>0</v>
      </c>
      <c r="E31" s="344"/>
      <c r="F31" s="344"/>
      <c r="G31" s="500">
        <f t="shared" si="0"/>
        <v>10678</v>
      </c>
      <c r="H31" s="12"/>
    </row>
    <row r="32" spans="1:8" s="29" customFormat="1" ht="12.75">
      <c r="A32" s="49" t="s">
        <v>727</v>
      </c>
      <c r="B32" s="506" t="s">
        <v>728</v>
      </c>
      <c r="C32" s="350">
        <f>Dec20!O32</f>
        <v>2665473.659999999</v>
      </c>
      <c r="D32" s="350">
        <f>Dec20!P32</f>
        <v>0</v>
      </c>
      <c r="E32" s="344"/>
      <c r="F32" s="344"/>
      <c r="G32" s="500">
        <f t="shared" si="0"/>
        <v>2665473.659999999</v>
      </c>
      <c r="H32" s="12"/>
    </row>
    <row r="33" spans="1:8" s="29" customFormat="1" ht="12.75">
      <c r="A33" s="49" t="s">
        <v>12</v>
      </c>
      <c r="B33" s="506" t="s">
        <v>111</v>
      </c>
      <c r="C33" s="350">
        <f>Dec20!O33</f>
        <v>1208049.99</v>
      </c>
      <c r="D33" s="350">
        <f>Dec20!P33</f>
        <v>0</v>
      </c>
      <c r="E33" s="344"/>
      <c r="F33" s="344"/>
      <c r="G33" s="500">
        <f t="shared" si="0"/>
        <v>1208049.99</v>
      </c>
      <c r="H33" s="12"/>
    </row>
    <row r="34" spans="1:8" s="29" customFormat="1" ht="12.75">
      <c r="A34" s="49" t="s">
        <v>120</v>
      </c>
      <c r="B34" s="506" t="s">
        <v>112</v>
      </c>
      <c r="C34" s="350">
        <f>Dec20!O34</f>
        <v>0</v>
      </c>
      <c r="D34" s="350">
        <f>Dec20!P34</f>
        <v>593857.2</v>
      </c>
      <c r="E34" s="344"/>
      <c r="F34" s="344"/>
      <c r="G34" s="13"/>
      <c r="H34" s="12">
        <f>D34+F34-C34-E34</f>
        <v>593857.2</v>
      </c>
    </row>
    <row r="35" spans="1:8" s="29" customFormat="1" ht="12.75">
      <c r="A35" s="49" t="s">
        <v>114</v>
      </c>
      <c r="B35" s="506" t="s">
        <v>113</v>
      </c>
      <c r="C35" s="350">
        <f>Dec20!O35</f>
        <v>1452998</v>
      </c>
      <c r="D35" s="350">
        <f>Dec20!P35</f>
        <v>0</v>
      </c>
      <c r="E35" s="344"/>
      <c r="F35" s="344"/>
      <c r="G35" s="500">
        <f>C35+E35-D35-F35</f>
        <v>1452998</v>
      </c>
      <c r="H35" s="12"/>
    </row>
    <row r="36" spans="1:8" s="29" customFormat="1" ht="12.75">
      <c r="A36" s="49" t="s">
        <v>115</v>
      </c>
      <c r="B36" s="506" t="s">
        <v>121</v>
      </c>
      <c r="C36" s="350">
        <f>Dec20!O36</f>
        <v>0</v>
      </c>
      <c r="D36" s="350">
        <f>Dec20!P36</f>
        <v>346231.98</v>
      </c>
      <c r="E36" s="344"/>
      <c r="F36" s="344"/>
      <c r="G36" s="13"/>
      <c r="H36" s="12">
        <f>D36+F36-C36-E36</f>
        <v>346231.98</v>
      </c>
    </row>
    <row r="37" spans="1:8" s="29" customFormat="1" ht="12.75">
      <c r="A37" s="49" t="s">
        <v>780</v>
      </c>
      <c r="B37" s="262" t="s">
        <v>778</v>
      </c>
      <c r="C37" s="350">
        <f>Dec20!O37</f>
        <v>43854619</v>
      </c>
      <c r="D37" s="350">
        <f>Dec20!P37</f>
        <v>0</v>
      </c>
      <c r="E37" s="344"/>
      <c r="F37" s="344"/>
      <c r="G37" s="500">
        <f>C37+E37-D37-F37</f>
        <v>43854619</v>
      </c>
      <c r="H37" s="12"/>
    </row>
    <row r="38" spans="1:8" s="29" customFormat="1" ht="12.75">
      <c r="A38" s="49" t="s">
        <v>781</v>
      </c>
      <c r="B38" s="262" t="s">
        <v>779</v>
      </c>
      <c r="C38" s="350">
        <f>Dec20!O38</f>
        <v>0</v>
      </c>
      <c r="D38" s="350">
        <f>Dec20!P38</f>
        <v>780776.76</v>
      </c>
      <c r="E38" s="344"/>
      <c r="F38" s="344"/>
      <c r="G38" s="13"/>
      <c r="H38" s="12">
        <f>D38+F38-C38-E38</f>
        <v>780776.76</v>
      </c>
    </row>
    <row r="39" spans="1:8" s="29" customFormat="1" ht="12.75">
      <c r="A39" s="49" t="s">
        <v>782</v>
      </c>
      <c r="B39" s="262" t="s">
        <v>783</v>
      </c>
      <c r="C39" s="350">
        <f>Dec20!O39</f>
        <v>968000</v>
      </c>
      <c r="D39" s="350">
        <f>Dec20!P39</f>
        <v>0</v>
      </c>
      <c r="E39" s="344"/>
      <c r="F39" s="344"/>
      <c r="G39" s="500">
        <f>C39+E39-D39-F39</f>
        <v>968000</v>
      </c>
      <c r="H39" s="12"/>
    </row>
    <row r="40" spans="1:8" s="29" customFormat="1" ht="12.75">
      <c r="A40" s="49" t="s">
        <v>784</v>
      </c>
      <c r="B40" s="262" t="s">
        <v>785</v>
      </c>
      <c r="C40" s="350">
        <f>Dec20!O40</f>
        <v>0</v>
      </c>
      <c r="D40" s="350">
        <f>Dec20!P40</f>
        <v>7260</v>
      </c>
      <c r="E40" s="344"/>
      <c r="F40" s="344"/>
      <c r="G40" s="13"/>
      <c r="H40" s="12">
        <f>D40+F40-C40-E40</f>
        <v>7260</v>
      </c>
    </row>
    <row r="41" spans="1:8" s="29" customFormat="1" ht="12.75">
      <c r="A41" s="49" t="s">
        <v>786</v>
      </c>
      <c r="B41" s="262" t="s">
        <v>788</v>
      </c>
      <c r="C41" s="350">
        <f>Dec20!O41</f>
        <v>3381829.4099999997</v>
      </c>
      <c r="D41" s="350">
        <f>Dec20!P41</f>
        <v>0</v>
      </c>
      <c r="E41" s="344"/>
      <c r="F41" s="344"/>
      <c r="G41" s="500">
        <f>C41+E41-D41-F41</f>
        <v>3381829.4099999997</v>
      </c>
      <c r="H41" s="12"/>
    </row>
    <row r="42" spans="1:8" s="29" customFormat="1" ht="12.75">
      <c r="A42" s="49" t="s">
        <v>787</v>
      </c>
      <c r="B42" s="262" t="s">
        <v>789</v>
      </c>
      <c r="C42" s="350">
        <f>Dec20!O42</f>
        <v>0</v>
      </c>
      <c r="D42" s="350">
        <f>Dec20!P42</f>
        <v>21674.35</v>
      </c>
      <c r="E42" s="344"/>
      <c r="F42" s="344"/>
      <c r="G42" s="13"/>
      <c r="H42" s="12">
        <f>D42+F42-C42-E42</f>
        <v>21674.35</v>
      </c>
    </row>
    <row r="43" spans="1:8" s="29" customFormat="1" ht="12.75">
      <c r="A43" s="49" t="s">
        <v>530</v>
      </c>
      <c r="B43" s="506" t="s">
        <v>533</v>
      </c>
      <c r="C43" s="350">
        <f>Dec20!O43</f>
        <v>120122</v>
      </c>
      <c r="D43" s="350">
        <f>Dec20!P43</f>
        <v>0</v>
      </c>
      <c r="E43" s="344"/>
      <c r="F43" s="344"/>
      <c r="G43" s="500">
        <f>C43+E43-D43-F43</f>
        <v>120122</v>
      </c>
      <c r="H43" s="12"/>
    </row>
    <row r="44" spans="1:8" s="29" customFormat="1" ht="12.75">
      <c r="A44" s="49" t="s">
        <v>531</v>
      </c>
      <c r="B44" s="506" t="s">
        <v>532</v>
      </c>
      <c r="C44" s="350">
        <f>Dec20!O44</f>
        <v>0</v>
      </c>
      <c r="D44" s="350">
        <f>Dec20!P44</f>
        <v>14765.57</v>
      </c>
      <c r="E44" s="344"/>
      <c r="F44" s="344"/>
      <c r="G44" s="13"/>
      <c r="H44" s="12">
        <f>D44+F44-C44-E44</f>
        <v>14765.57</v>
      </c>
    </row>
    <row r="45" spans="1:8" s="29" customFormat="1" ht="12.75">
      <c r="A45" s="49" t="s">
        <v>128</v>
      </c>
      <c r="B45" s="506" t="s">
        <v>130</v>
      </c>
      <c r="C45" s="350">
        <f>Dec20!O45</f>
        <v>369000</v>
      </c>
      <c r="D45" s="350">
        <f>Dec20!P45</f>
        <v>0</v>
      </c>
      <c r="E45" s="344"/>
      <c r="F45" s="344"/>
      <c r="G45" s="500">
        <f>C45+E45-D45-F45</f>
        <v>369000</v>
      </c>
      <c r="H45" s="12"/>
    </row>
    <row r="46" spans="1:8" s="29" customFormat="1" ht="12.75">
      <c r="A46" s="49" t="s">
        <v>129</v>
      </c>
      <c r="B46" s="506" t="s">
        <v>131</v>
      </c>
      <c r="C46" s="350">
        <f>Dec20!O46</f>
        <v>0</v>
      </c>
      <c r="D46" s="350">
        <f>Dec20!P46</f>
        <v>250069.96999999997</v>
      </c>
      <c r="E46" s="344"/>
      <c r="F46" s="344"/>
      <c r="G46" s="13"/>
      <c r="H46" s="12">
        <f>D46+F46-C46-E46</f>
        <v>250069.96999999997</v>
      </c>
    </row>
    <row r="47" spans="1:8" s="29" customFormat="1" ht="12.75">
      <c r="A47" s="49" t="s">
        <v>41</v>
      </c>
      <c r="B47" s="506" t="s">
        <v>126</v>
      </c>
      <c r="C47" s="350">
        <f>Dec20!O47</f>
        <v>2391000</v>
      </c>
      <c r="D47" s="350">
        <f>Dec20!P47</f>
        <v>0</v>
      </c>
      <c r="E47" s="344"/>
      <c r="F47" s="344"/>
      <c r="G47" s="500">
        <f>C47+E47-D47-F47</f>
        <v>2391000</v>
      </c>
      <c r="H47" s="12"/>
    </row>
    <row r="48" spans="1:8" s="29" customFormat="1" ht="12.75">
      <c r="A48" s="49" t="s">
        <v>42</v>
      </c>
      <c r="B48" s="506" t="s">
        <v>127</v>
      </c>
      <c r="C48" s="350">
        <f>Dec20!O48</f>
        <v>0</v>
      </c>
      <c r="D48" s="350">
        <f>Dec20!P48</f>
        <v>979674.17</v>
      </c>
      <c r="E48" s="344"/>
      <c r="F48" s="344"/>
      <c r="G48" s="13"/>
      <c r="H48" s="12">
        <f>D48+F48-C48-E48</f>
        <v>979674.17</v>
      </c>
    </row>
    <row r="49" spans="1:8" s="29" customFormat="1" ht="12.75">
      <c r="A49" s="49" t="s">
        <v>13</v>
      </c>
      <c r="B49" s="506" t="s">
        <v>118</v>
      </c>
      <c r="C49" s="350">
        <f>Dec20!O49</f>
        <v>608207.2</v>
      </c>
      <c r="D49" s="350">
        <f>Dec20!P49</f>
        <v>0</v>
      </c>
      <c r="E49" s="344"/>
      <c r="F49" s="344"/>
      <c r="G49" s="500">
        <f>C49+E49-D49-F49</f>
        <v>608207.2</v>
      </c>
      <c r="H49" s="12"/>
    </row>
    <row r="50" spans="1:8" s="29" customFormat="1" ht="12.75">
      <c r="A50" s="49" t="s">
        <v>14</v>
      </c>
      <c r="B50" s="506" t="s">
        <v>119</v>
      </c>
      <c r="C50" s="350">
        <f>Dec20!O50</f>
        <v>0</v>
      </c>
      <c r="D50" s="350">
        <f>Dec20!P50</f>
        <v>354971.07</v>
      </c>
      <c r="E50" s="344"/>
      <c r="F50" s="344"/>
      <c r="G50" s="13"/>
      <c r="H50" s="12">
        <f>D50+F50-C50-E50</f>
        <v>354971.07</v>
      </c>
    </row>
    <row r="51" spans="1:8" s="29" customFormat="1" ht="12.75">
      <c r="A51" s="49" t="s">
        <v>680</v>
      </c>
      <c r="B51" s="506" t="s">
        <v>681</v>
      </c>
      <c r="C51" s="350">
        <f>Dec20!O51</f>
        <v>0</v>
      </c>
      <c r="D51" s="350">
        <f>Dec20!P51</f>
        <v>0</v>
      </c>
      <c r="E51" s="344"/>
      <c r="F51" s="344"/>
      <c r="G51" s="500">
        <f>C51+E51-D51-F51</f>
        <v>0</v>
      </c>
      <c r="H51" s="12"/>
    </row>
    <row r="52" spans="1:8" s="29" customFormat="1" ht="12.75">
      <c r="A52" s="49" t="s">
        <v>683</v>
      </c>
      <c r="B52" s="506" t="s">
        <v>682</v>
      </c>
      <c r="C52" s="350">
        <f>Dec20!O52</f>
        <v>0</v>
      </c>
      <c r="D52" s="350">
        <f>Dec20!P52</f>
        <v>0</v>
      </c>
      <c r="E52" s="344"/>
      <c r="F52" s="344"/>
      <c r="G52" s="500">
        <f>C52+E52-D52-F52</f>
        <v>0</v>
      </c>
      <c r="H52" s="12"/>
    </row>
    <row r="53" spans="1:8" s="29" customFormat="1" ht="12.75">
      <c r="A53" s="49" t="s">
        <v>559</v>
      </c>
      <c r="B53" s="506" t="s">
        <v>558</v>
      </c>
      <c r="C53" s="350">
        <f>Dec20!O53</f>
        <v>0</v>
      </c>
      <c r="D53" s="350">
        <f>Dec20!P53</f>
        <v>0</v>
      </c>
      <c r="E53" s="344"/>
      <c r="F53" s="344"/>
      <c r="G53" s="13"/>
      <c r="H53" s="12"/>
    </row>
    <row r="54" spans="1:8" s="29" customFormat="1" ht="12.75" customHeight="1">
      <c r="A54" s="54" t="s">
        <v>15</v>
      </c>
      <c r="B54" s="506" t="s">
        <v>132</v>
      </c>
      <c r="C54" s="350">
        <f>Dec20!O54</f>
        <v>350256.89</v>
      </c>
      <c r="D54" s="350">
        <f>Dec20!P54</f>
        <v>0</v>
      </c>
      <c r="E54" s="344"/>
      <c r="F54" s="344"/>
      <c r="G54" s="500">
        <f>C54+E54-D54-F54</f>
        <v>350256.89</v>
      </c>
      <c r="H54" s="12"/>
    </row>
    <row r="55" spans="1:8" s="29" customFormat="1" ht="12.75" customHeight="1">
      <c r="A55" s="8"/>
      <c r="B55" s="508"/>
      <c r="C55" s="350">
        <f>Dec20!O55</f>
        <v>0</v>
      </c>
      <c r="D55" s="350">
        <f>Dec20!P55</f>
        <v>0</v>
      </c>
      <c r="E55" s="344"/>
      <c r="F55" s="344"/>
      <c r="G55" s="13"/>
      <c r="H55" s="12">
        <f aca="true" t="shared" si="1" ref="H55:H66">D55+F55-C55-E55</f>
        <v>0</v>
      </c>
    </row>
    <row r="56" spans="1:8" s="29" customFormat="1" ht="12.75">
      <c r="A56" s="7" t="s">
        <v>16</v>
      </c>
      <c r="B56" s="508"/>
      <c r="C56" s="350">
        <f>Dec20!O56</f>
        <v>0</v>
      </c>
      <c r="D56" s="350">
        <f>Dec20!P56</f>
        <v>0</v>
      </c>
      <c r="E56" s="344"/>
      <c r="F56" s="344"/>
      <c r="G56" s="13"/>
      <c r="H56" s="12">
        <f t="shared" si="1"/>
        <v>0</v>
      </c>
    </row>
    <row r="57" spans="1:8" s="29" customFormat="1" ht="12.75">
      <c r="A57" s="49" t="s">
        <v>31</v>
      </c>
      <c r="B57" s="506" t="s">
        <v>133</v>
      </c>
      <c r="C57" s="350">
        <f>Dec20!O57</f>
        <v>0</v>
      </c>
      <c r="D57" s="350">
        <f>Dec20!P57</f>
        <v>35250</v>
      </c>
      <c r="E57" s="344"/>
      <c r="F57" s="344"/>
      <c r="G57" s="13"/>
      <c r="H57" s="12">
        <f t="shared" si="1"/>
        <v>35250</v>
      </c>
    </row>
    <row r="58" spans="1:8" s="29" customFormat="1" ht="12.75">
      <c r="A58" s="49" t="s">
        <v>46</v>
      </c>
      <c r="B58" s="506" t="s">
        <v>134</v>
      </c>
      <c r="C58" s="350">
        <f>Dec20!O58</f>
        <v>0</v>
      </c>
      <c r="D58" s="350">
        <f>Dec20!P58</f>
        <v>561413.67</v>
      </c>
      <c r="E58" s="344"/>
      <c r="F58" s="344"/>
      <c r="G58" s="13"/>
      <c r="H58" s="12">
        <f t="shared" si="1"/>
        <v>561413.67</v>
      </c>
    </row>
    <row r="59" spans="1:8" s="29" customFormat="1" ht="12.75">
      <c r="A59" s="74" t="s">
        <v>685</v>
      </c>
      <c r="B59" s="507" t="s">
        <v>684</v>
      </c>
      <c r="C59" s="350">
        <f>Dec20!O59</f>
        <v>0</v>
      </c>
      <c r="D59" s="350">
        <f>Dec20!P59</f>
        <v>611770.92</v>
      </c>
      <c r="E59" s="344"/>
      <c r="F59" s="344"/>
      <c r="G59" s="13"/>
      <c r="H59" s="12">
        <f t="shared" si="1"/>
        <v>611770.92</v>
      </c>
    </row>
    <row r="60" spans="1:8" s="29" customFormat="1" ht="12.75">
      <c r="A60" s="74" t="s">
        <v>686</v>
      </c>
      <c r="B60" s="507" t="s">
        <v>688</v>
      </c>
      <c r="C60" s="350">
        <f>Dec20!O60</f>
        <v>0</v>
      </c>
      <c r="D60" s="350">
        <f>Dec20!P60</f>
        <v>10448.259999999951</v>
      </c>
      <c r="E60" s="344"/>
      <c r="F60" s="344"/>
      <c r="G60" s="13"/>
      <c r="H60" s="12">
        <f t="shared" si="1"/>
        <v>10448.259999999951</v>
      </c>
    </row>
    <row r="61" spans="1:8" s="29" customFormat="1" ht="12.75">
      <c r="A61" s="74" t="s">
        <v>687</v>
      </c>
      <c r="B61" s="507" t="s">
        <v>689</v>
      </c>
      <c r="C61" s="350">
        <f>Dec20!O61</f>
        <v>0</v>
      </c>
      <c r="D61" s="350">
        <f>Dec20!P61</f>
        <v>11777.859999999993</v>
      </c>
      <c r="E61" s="344"/>
      <c r="F61" s="344"/>
      <c r="G61" s="13"/>
      <c r="H61" s="12">
        <f t="shared" si="1"/>
        <v>11777.859999999993</v>
      </c>
    </row>
    <row r="62" spans="1:8" s="29" customFormat="1" ht="12.75">
      <c r="A62" s="49" t="s">
        <v>690</v>
      </c>
      <c r="B62" s="506" t="s">
        <v>692</v>
      </c>
      <c r="C62" s="350">
        <f>Dec20!O62</f>
        <v>0</v>
      </c>
      <c r="D62" s="350">
        <f>Dec20!P62</f>
        <v>5626.36</v>
      </c>
      <c r="E62" s="344"/>
      <c r="F62" s="344"/>
      <c r="G62" s="13"/>
      <c r="H62" s="12">
        <f t="shared" si="1"/>
        <v>5626.36</v>
      </c>
    </row>
    <row r="63" spans="1:8" s="29" customFormat="1" ht="12.75">
      <c r="A63" s="49" t="s">
        <v>691</v>
      </c>
      <c r="B63" s="506" t="s">
        <v>693</v>
      </c>
      <c r="C63" s="350">
        <f>Dec20!O63</f>
        <v>0</v>
      </c>
      <c r="D63" s="350">
        <f>Dec20!P63</f>
        <v>2084.6699999999996</v>
      </c>
      <c r="E63" s="351"/>
      <c r="F63" s="351"/>
      <c r="G63" s="13"/>
      <c r="H63" s="12">
        <f t="shared" si="1"/>
        <v>2084.6699999999996</v>
      </c>
    </row>
    <row r="64" spans="1:8" s="29" customFormat="1" ht="12.75">
      <c r="A64" s="49" t="s">
        <v>47</v>
      </c>
      <c r="B64" s="506" t="s">
        <v>137</v>
      </c>
      <c r="C64" s="350">
        <f>Dec20!O64</f>
        <v>0</v>
      </c>
      <c r="D64" s="350">
        <f>Dec20!P64</f>
        <v>16735.800000000007</v>
      </c>
      <c r="E64" s="344"/>
      <c r="F64" s="344"/>
      <c r="G64" s="13"/>
      <c r="H64" s="12">
        <f t="shared" si="1"/>
        <v>16735.800000000007</v>
      </c>
    </row>
    <row r="65" spans="1:8" s="29" customFormat="1" ht="12.75">
      <c r="A65" s="74" t="s">
        <v>59</v>
      </c>
      <c r="B65" s="507" t="s">
        <v>138</v>
      </c>
      <c r="C65" s="350">
        <f>Dec20!O65</f>
        <v>0</v>
      </c>
      <c r="D65" s="350">
        <f>Dec20!P65</f>
        <v>32455.670000000056</v>
      </c>
      <c r="E65" s="344"/>
      <c r="F65" s="344"/>
      <c r="G65" s="13"/>
      <c r="H65" s="12">
        <f t="shared" si="1"/>
        <v>32455.670000000056</v>
      </c>
    </row>
    <row r="66" spans="1:8" s="29" customFormat="1" ht="12.75">
      <c r="A66" s="49" t="s">
        <v>17</v>
      </c>
      <c r="B66" s="506" t="s">
        <v>139</v>
      </c>
      <c r="C66" s="350">
        <f>Dec20!O66</f>
        <v>0</v>
      </c>
      <c r="D66" s="350">
        <f>Dec20!P66</f>
        <v>469526.4</v>
      </c>
      <c r="E66" s="344"/>
      <c r="F66" s="344"/>
      <c r="G66" s="13"/>
      <c r="H66" s="12">
        <f t="shared" si="1"/>
        <v>469526.4</v>
      </c>
    </row>
    <row r="67" spans="1:8" s="29" customFormat="1" ht="12.75">
      <c r="A67" s="8"/>
      <c r="B67" s="508"/>
      <c r="C67" s="350">
        <f>Dec20!O67</f>
        <v>0</v>
      </c>
      <c r="D67" s="350">
        <f>Dec20!P67</f>
        <v>0</v>
      </c>
      <c r="E67" s="352"/>
      <c r="F67" s="344"/>
      <c r="G67" s="13"/>
      <c r="H67" s="12">
        <f aca="true" t="shared" si="2" ref="H67:H72">D67+F67-C67-E67</f>
        <v>0</v>
      </c>
    </row>
    <row r="68" spans="1:8" s="29" customFormat="1" ht="12.75">
      <c r="A68" s="7" t="s">
        <v>32</v>
      </c>
      <c r="B68" s="508"/>
      <c r="C68" s="350">
        <f>Dec20!O68</f>
        <v>0</v>
      </c>
      <c r="D68" s="350">
        <f>Dec20!P68</f>
        <v>0</v>
      </c>
      <c r="E68" s="352"/>
      <c r="F68" s="344"/>
      <c r="G68" s="13"/>
      <c r="H68" s="12">
        <f t="shared" si="2"/>
        <v>0</v>
      </c>
    </row>
    <row r="69" spans="1:8" s="29" customFormat="1" ht="12.75">
      <c r="A69" s="49" t="s">
        <v>18</v>
      </c>
      <c r="B69" s="506" t="s">
        <v>140</v>
      </c>
      <c r="C69" s="350">
        <f>Dec20!O69</f>
        <v>0</v>
      </c>
      <c r="D69" s="350">
        <f>Dec20!P69</f>
        <v>93682852.88</v>
      </c>
      <c r="E69" s="352">
        <f>21573113.93+333912.42</f>
        <v>21907026.35</v>
      </c>
      <c r="F69" s="344">
        <v>8070200.28</v>
      </c>
      <c r="G69" s="13"/>
      <c r="H69" s="12">
        <f t="shared" si="2"/>
        <v>79846026.81</v>
      </c>
    </row>
    <row r="70" spans="1:8" s="29" customFormat="1" ht="12.75">
      <c r="A70" s="49" t="s">
        <v>142</v>
      </c>
      <c r="B70" s="508" t="s">
        <v>141</v>
      </c>
      <c r="C70" s="350">
        <f>Dec20!O70</f>
        <v>0</v>
      </c>
      <c r="D70" s="350">
        <f>Dec20!P70</f>
        <v>122573301.69999999</v>
      </c>
      <c r="E70" s="352">
        <v>122573301.7</v>
      </c>
      <c r="F70" s="344"/>
      <c r="G70" s="13"/>
      <c r="H70" s="12">
        <f t="shared" si="2"/>
        <v>0</v>
      </c>
    </row>
    <row r="71" spans="1:8" s="29" customFormat="1" ht="12.75">
      <c r="A71" s="49" t="s">
        <v>673</v>
      </c>
      <c r="B71" s="249" t="s">
        <v>745</v>
      </c>
      <c r="C71" s="350">
        <f>Dec20!O71</f>
        <v>0</v>
      </c>
      <c r="D71" s="350">
        <f>Dec20!P71</f>
        <v>114924393.25999999</v>
      </c>
      <c r="E71" s="352">
        <v>114924393.26</v>
      </c>
      <c r="F71" s="344"/>
      <c r="G71" s="500"/>
      <c r="H71" s="12">
        <f t="shared" si="2"/>
        <v>0</v>
      </c>
    </row>
    <row r="72" spans="1:8" s="29" customFormat="1" ht="13.5" thickBot="1">
      <c r="A72" s="49" t="s">
        <v>569</v>
      </c>
      <c r="B72" s="508"/>
      <c r="C72" s="350">
        <f>Dec20!O72</f>
        <v>0</v>
      </c>
      <c r="D72" s="350">
        <f>Dec20!P72</f>
        <v>0</v>
      </c>
      <c r="E72" s="352">
        <f>229427494.68+8070200.28</f>
        <v>237497694.96</v>
      </c>
      <c r="F72" s="344">
        <v>237497694.96</v>
      </c>
      <c r="G72" s="500">
        <f>C72+E72-D72-F72</f>
        <v>0</v>
      </c>
      <c r="H72" s="12">
        <f t="shared" si="2"/>
        <v>0</v>
      </c>
    </row>
    <row r="73" spans="1:8" s="29" customFormat="1" ht="12.75" hidden="1">
      <c r="A73" s="4" t="s">
        <v>19</v>
      </c>
      <c r="B73" s="509"/>
      <c r="C73" s="350">
        <f>Dec20!O73</f>
        <v>0</v>
      </c>
      <c r="D73" s="350">
        <f>Dec20!P73</f>
        <v>0</v>
      </c>
      <c r="E73" s="352"/>
      <c r="F73" s="344"/>
      <c r="G73" s="500">
        <f>C73+E73-D73-F73</f>
        <v>0</v>
      </c>
      <c r="H73" s="28"/>
    </row>
    <row r="74" spans="1:8" s="29" customFormat="1" ht="12.75" hidden="1">
      <c r="A74" s="23" t="s">
        <v>143</v>
      </c>
      <c r="B74" s="250" t="s">
        <v>144</v>
      </c>
      <c r="C74" s="350">
        <f>Dec20!O74</f>
        <v>14425905.999999996</v>
      </c>
      <c r="D74" s="350">
        <f>Dec20!P74</f>
        <v>0</v>
      </c>
      <c r="E74" s="352"/>
      <c r="F74" s="352">
        <v>14425906</v>
      </c>
      <c r="G74" s="500">
        <f>C74+E74-D74-F74</f>
        <v>0</v>
      </c>
      <c r="H74" s="28"/>
    </row>
    <row r="75" spans="1:8" s="29" customFormat="1" ht="12.75" hidden="1">
      <c r="A75" s="23" t="s">
        <v>20</v>
      </c>
      <c r="B75" s="250" t="s">
        <v>145</v>
      </c>
      <c r="C75" s="350">
        <f>Dec20!O75</f>
        <v>510000</v>
      </c>
      <c r="D75" s="350">
        <f>Dec20!P75</f>
        <v>0</v>
      </c>
      <c r="E75" s="352"/>
      <c r="F75" s="352">
        <v>510000</v>
      </c>
      <c r="G75" s="500">
        <f aca="true" t="shared" si="3" ref="G75:G138">C75+E75-D75-F75</f>
        <v>0</v>
      </c>
      <c r="H75" s="28"/>
    </row>
    <row r="76" spans="1:8" s="29" customFormat="1" ht="13.5" customHeight="1" hidden="1">
      <c r="A76" s="23" t="s">
        <v>21</v>
      </c>
      <c r="B76" s="250" t="s">
        <v>146</v>
      </c>
      <c r="C76" s="350">
        <f>Dec20!O76</f>
        <v>228000</v>
      </c>
      <c r="D76" s="350">
        <f>Dec20!P76</f>
        <v>0</v>
      </c>
      <c r="E76" s="352"/>
      <c r="F76" s="352">
        <v>228000</v>
      </c>
      <c r="G76" s="500">
        <f t="shared" si="3"/>
        <v>0</v>
      </c>
      <c r="H76" s="28"/>
    </row>
    <row r="77" spans="1:8" s="29" customFormat="1" ht="12.75" customHeight="1" hidden="1">
      <c r="A77" s="23" t="s">
        <v>22</v>
      </c>
      <c r="B77" s="250" t="s">
        <v>147</v>
      </c>
      <c r="C77" s="350">
        <f>Dec20!O77</f>
        <v>228000</v>
      </c>
      <c r="D77" s="350">
        <f>Dec20!P77</f>
        <v>0</v>
      </c>
      <c r="E77" s="352"/>
      <c r="F77" s="352">
        <v>228000</v>
      </c>
      <c r="G77" s="500">
        <f t="shared" si="3"/>
        <v>0</v>
      </c>
      <c r="H77" s="28"/>
    </row>
    <row r="78" spans="1:8" s="29" customFormat="1" ht="12.75" hidden="1">
      <c r="A78" s="23" t="s">
        <v>67</v>
      </c>
      <c r="B78" s="250" t="s">
        <v>527</v>
      </c>
      <c r="C78" s="350">
        <f>Dec20!O78</f>
        <v>408000</v>
      </c>
      <c r="D78" s="350">
        <f>Dec20!P78</f>
        <v>0</v>
      </c>
      <c r="E78" s="352"/>
      <c r="F78" s="352">
        <v>408000</v>
      </c>
      <c r="G78" s="500">
        <f t="shared" si="3"/>
        <v>0</v>
      </c>
      <c r="H78" s="28"/>
    </row>
    <row r="79" spans="1:8" s="29" customFormat="1" ht="12.75" hidden="1">
      <c r="A79" s="23" t="s">
        <v>149</v>
      </c>
      <c r="B79" s="250" t="s">
        <v>148</v>
      </c>
      <c r="C79" s="350">
        <f>Dec20!O79</f>
        <v>0</v>
      </c>
      <c r="D79" s="350">
        <f>Dec20!P79</f>
        <v>0</v>
      </c>
      <c r="E79" s="352"/>
      <c r="F79" s="352"/>
      <c r="G79" s="500">
        <f t="shared" si="3"/>
        <v>0</v>
      </c>
      <c r="H79" s="28"/>
    </row>
    <row r="80" spans="1:8" s="29" customFormat="1" ht="12.75" hidden="1">
      <c r="A80" s="23" t="s">
        <v>66</v>
      </c>
      <c r="B80" s="250" t="s">
        <v>150</v>
      </c>
      <c r="C80" s="350">
        <f>Dec20!O80</f>
        <v>0</v>
      </c>
      <c r="D80" s="350">
        <f>Dec20!P80</f>
        <v>0</v>
      </c>
      <c r="E80" s="352"/>
      <c r="F80" s="352"/>
      <c r="G80" s="500">
        <f t="shared" si="3"/>
        <v>0</v>
      </c>
      <c r="H80" s="28"/>
    </row>
    <row r="81" spans="1:8" s="29" customFormat="1" ht="12.75" hidden="1">
      <c r="A81" s="23" t="s">
        <v>221</v>
      </c>
      <c r="B81" s="250" t="s">
        <v>537</v>
      </c>
      <c r="C81" s="350">
        <f>Dec20!O81</f>
        <v>0</v>
      </c>
      <c r="D81" s="350">
        <f>Dec20!P81</f>
        <v>0</v>
      </c>
      <c r="E81" s="352"/>
      <c r="F81" s="352"/>
      <c r="G81" s="500">
        <f t="shared" si="3"/>
        <v>0</v>
      </c>
      <c r="H81" s="28"/>
    </row>
    <row r="82" spans="1:8" s="29" customFormat="1" ht="12.75" hidden="1">
      <c r="A82" s="23" t="s">
        <v>76</v>
      </c>
      <c r="B82" s="250" t="s">
        <v>153</v>
      </c>
      <c r="C82" s="350">
        <f>Dec20!O82</f>
        <v>1205242</v>
      </c>
      <c r="D82" s="350">
        <f>Dec20!P82</f>
        <v>0</v>
      </c>
      <c r="E82" s="352"/>
      <c r="F82" s="352">
        <v>1205242</v>
      </c>
      <c r="G82" s="500">
        <f t="shared" si="3"/>
        <v>0</v>
      </c>
      <c r="H82" s="28"/>
    </row>
    <row r="83" spans="1:8" s="29" customFormat="1" ht="12.75" hidden="1">
      <c r="A83" s="23" t="s">
        <v>242</v>
      </c>
      <c r="B83" s="250" t="s">
        <v>234</v>
      </c>
      <c r="C83" s="350">
        <f>Dec20!O83</f>
        <v>0</v>
      </c>
      <c r="D83" s="350">
        <f>Dec20!P83</f>
        <v>0</v>
      </c>
      <c r="E83" s="352"/>
      <c r="F83" s="352"/>
      <c r="G83" s="500">
        <f t="shared" si="3"/>
        <v>0</v>
      </c>
      <c r="H83" s="28"/>
    </row>
    <row r="84" spans="1:8" s="29" customFormat="1" ht="12.75" hidden="1">
      <c r="A84" s="23" t="s">
        <v>75</v>
      </c>
      <c r="B84" s="250" t="s">
        <v>152</v>
      </c>
      <c r="C84" s="350">
        <f>Dec20!O84</f>
        <v>110000</v>
      </c>
      <c r="D84" s="350">
        <f>Dec20!P84</f>
        <v>0</v>
      </c>
      <c r="E84" s="352"/>
      <c r="F84" s="352">
        <v>110000</v>
      </c>
      <c r="G84" s="500">
        <f t="shared" si="3"/>
        <v>0</v>
      </c>
      <c r="H84" s="28"/>
    </row>
    <row r="85" spans="1:8" s="29" customFormat="1" ht="12.75" customHeight="1" hidden="1">
      <c r="A85" s="23" t="s">
        <v>70</v>
      </c>
      <c r="B85" s="250" t="s">
        <v>151</v>
      </c>
      <c r="C85" s="350">
        <f>Dec20!O85</f>
        <v>0</v>
      </c>
      <c r="D85" s="350">
        <f>Dec20!P85</f>
        <v>0</v>
      </c>
      <c r="E85" s="352"/>
      <c r="F85" s="352"/>
      <c r="G85" s="500">
        <f t="shared" si="3"/>
        <v>0</v>
      </c>
      <c r="H85" s="28"/>
    </row>
    <row r="86" spans="1:8" s="29" customFormat="1" ht="12.75" hidden="1">
      <c r="A86" s="23" t="s">
        <v>562</v>
      </c>
      <c r="B86" s="250" t="s">
        <v>563</v>
      </c>
      <c r="C86" s="350">
        <f>Dec20!O86</f>
        <v>1084000</v>
      </c>
      <c r="D86" s="350">
        <f>Dec20!P86</f>
        <v>0</v>
      </c>
      <c r="E86" s="352"/>
      <c r="F86" s="352">
        <v>1084000</v>
      </c>
      <c r="G86" s="500">
        <f t="shared" si="3"/>
        <v>0</v>
      </c>
      <c r="H86" s="28"/>
    </row>
    <row r="87" spans="1:8" s="29" customFormat="1" ht="12.75" hidden="1">
      <c r="A87" s="23" t="s">
        <v>564</v>
      </c>
      <c r="B87" s="250" t="s">
        <v>565</v>
      </c>
      <c r="C87" s="350">
        <f>Dec20!O87</f>
        <v>110000</v>
      </c>
      <c r="D87" s="350">
        <f>Dec20!P87</f>
        <v>0</v>
      </c>
      <c r="E87" s="352"/>
      <c r="F87" s="352">
        <v>110000</v>
      </c>
      <c r="G87" s="500">
        <f t="shared" si="3"/>
        <v>0</v>
      </c>
      <c r="H87" s="28"/>
    </row>
    <row r="88" spans="1:8" s="29" customFormat="1" ht="13.5" customHeight="1" hidden="1">
      <c r="A88" s="23" t="s">
        <v>553</v>
      </c>
      <c r="B88" s="250" t="s">
        <v>554</v>
      </c>
      <c r="C88" s="350">
        <f>Dec20!O88</f>
        <v>0</v>
      </c>
      <c r="D88" s="350">
        <f>Dec20!P88</f>
        <v>0</v>
      </c>
      <c r="E88" s="352"/>
      <c r="F88" s="352"/>
      <c r="G88" s="500">
        <f t="shared" si="3"/>
        <v>0</v>
      </c>
      <c r="H88" s="28"/>
    </row>
    <row r="89" spans="1:8" s="29" customFormat="1" ht="12.75" hidden="1">
      <c r="A89" s="23" t="s">
        <v>33</v>
      </c>
      <c r="B89" s="250" t="s">
        <v>154</v>
      </c>
      <c r="C89" s="350">
        <f>Dec20!O89</f>
        <v>274097.64</v>
      </c>
      <c r="D89" s="350">
        <f>Dec20!P89</f>
        <v>0</v>
      </c>
      <c r="E89" s="352"/>
      <c r="F89" s="352">
        <v>274097.64</v>
      </c>
      <c r="G89" s="500">
        <f t="shared" si="3"/>
        <v>0</v>
      </c>
      <c r="H89" s="28"/>
    </row>
    <row r="90" spans="1:8" s="29" customFormat="1" ht="12.75" hidden="1">
      <c r="A90" s="23" t="s">
        <v>34</v>
      </c>
      <c r="B90" s="250" t="s">
        <v>155</v>
      </c>
      <c r="C90" s="350">
        <f>Dec20!O90</f>
        <v>37316.159999999996</v>
      </c>
      <c r="D90" s="350">
        <f>Dec20!P90</f>
        <v>0</v>
      </c>
      <c r="E90" s="352"/>
      <c r="F90" s="344">
        <v>37316.16</v>
      </c>
      <c r="G90" s="500">
        <f t="shared" si="3"/>
        <v>0</v>
      </c>
      <c r="H90" s="28"/>
    </row>
    <row r="91" spans="1:8" s="29" customFormat="1" ht="12.75" hidden="1">
      <c r="A91" s="23" t="s">
        <v>35</v>
      </c>
      <c r="B91" s="250" t="s">
        <v>156</v>
      </c>
      <c r="C91" s="350">
        <f>Dec20!O91</f>
        <v>168539.77</v>
      </c>
      <c r="D91" s="350">
        <f>Dec20!P91</f>
        <v>0</v>
      </c>
      <c r="E91" s="352"/>
      <c r="F91" s="344">
        <v>168539.77</v>
      </c>
      <c r="G91" s="500">
        <f t="shared" si="3"/>
        <v>0</v>
      </c>
      <c r="H91" s="28"/>
    </row>
    <row r="92" spans="1:8" s="29" customFormat="1" ht="12.75" hidden="1">
      <c r="A92" s="23" t="s">
        <v>36</v>
      </c>
      <c r="B92" s="250" t="s">
        <v>157</v>
      </c>
      <c r="C92" s="350">
        <f>Dec20!O92</f>
        <v>24500</v>
      </c>
      <c r="D92" s="350">
        <f>Dec20!P92</f>
        <v>0</v>
      </c>
      <c r="E92" s="352"/>
      <c r="F92" s="344">
        <v>24500</v>
      </c>
      <c r="G92" s="500">
        <f t="shared" si="3"/>
        <v>0</v>
      </c>
      <c r="H92" s="28"/>
    </row>
    <row r="93" spans="1:8" s="29" customFormat="1" ht="12.75" hidden="1">
      <c r="A93" s="23" t="s">
        <v>698</v>
      </c>
      <c r="B93" s="250" t="s">
        <v>699</v>
      </c>
      <c r="C93" s="350">
        <f>Dec20!O93</f>
        <v>0</v>
      </c>
      <c r="D93" s="350">
        <f>Dec20!P93</f>
        <v>0</v>
      </c>
      <c r="E93" s="352"/>
      <c r="F93" s="344"/>
      <c r="G93" s="500">
        <f t="shared" si="3"/>
        <v>0</v>
      </c>
      <c r="H93" s="28"/>
    </row>
    <row r="94" spans="1:8" s="29" customFormat="1" ht="12.75" hidden="1">
      <c r="A94" s="23" t="s">
        <v>208</v>
      </c>
      <c r="B94" s="250" t="s">
        <v>207</v>
      </c>
      <c r="C94" s="350">
        <f>Dec20!O94</f>
        <v>2504052.88</v>
      </c>
      <c r="D94" s="350">
        <f>Dec20!P94</f>
        <v>0</v>
      </c>
      <c r="E94" s="352"/>
      <c r="F94" s="344">
        <v>2504052.88</v>
      </c>
      <c r="G94" s="500">
        <f t="shared" si="3"/>
        <v>0</v>
      </c>
      <c r="H94" s="28"/>
    </row>
    <row r="95" spans="1:8" s="29" customFormat="1" ht="12.75" hidden="1">
      <c r="A95" s="23" t="s">
        <v>719</v>
      </c>
      <c r="B95" s="250" t="s">
        <v>720</v>
      </c>
      <c r="C95" s="350">
        <f>Dec20!O95</f>
        <v>1047856.5</v>
      </c>
      <c r="D95" s="350">
        <f>Dec20!P95</f>
        <v>0</v>
      </c>
      <c r="E95" s="352"/>
      <c r="F95" s="344">
        <v>1047856.5</v>
      </c>
      <c r="G95" s="500">
        <f t="shared" si="3"/>
        <v>0</v>
      </c>
      <c r="H95" s="28"/>
    </row>
    <row r="96" spans="1:8" s="29" customFormat="1" ht="12.75" hidden="1">
      <c r="A96" s="23" t="s">
        <v>28</v>
      </c>
      <c r="B96" s="250" t="s">
        <v>158</v>
      </c>
      <c r="C96" s="350">
        <f>Dec20!O96</f>
        <v>614300.68</v>
      </c>
      <c r="D96" s="350">
        <f>Dec20!P96</f>
        <v>0</v>
      </c>
      <c r="E96" s="352"/>
      <c r="F96" s="344">
        <v>614300.68</v>
      </c>
      <c r="G96" s="500">
        <f t="shared" si="3"/>
        <v>0</v>
      </c>
      <c r="H96" s="28"/>
    </row>
    <row r="97" spans="1:8" s="29" customFormat="1" ht="12.75" hidden="1">
      <c r="A97" s="23" t="s">
        <v>243</v>
      </c>
      <c r="B97" s="250" t="s">
        <v>236</v>
      </c>
      <c r="C97" s="350">
        <f>Dec20!O97</f>
        <v>0</v>
      </c>
      <c r="D97" s="350">
        <f>Dec20!P97</f>
        <v>0</v>
      </c>
      <c r="E97" s="352"/>
      <c r="F97" s="344"/>
      <c r="G97" s="500">
        <f t="shared" si="3"/>
        <v>0</v>
      </c>
      <c r="H97" s="28"/>
    </row>
    <row r="98" spans="1:8" s="29" customFormat="1" ht="12.75" hidden="1">
      <c r="A98" s="23" t="s">
        <v>27</v>
      </c>
      <c r="B98" s="250" t="s">
        <v>159</v>
      </c>
      <c r="C98" s="350">
        <f>Dec20!O98</f>
        <v>3397311.25</v>
      </c>
      <c r="D98" s="350">
        <f>Dec20!P98</f>
        <v>0</v>
      </c>
      <c r="E98" s="352"/>
      <c r="F98" s="344">
        <v>3397311.25</v>
      </c>
      <c r="G98" s="500">
        <f t="shared" si="3"/>
        <v>0</v>
      </c>
      <c r="H98" s="28"/>
    </row>
    <row r="99" spans="1:8" s="29" customFormat="1" ht="12.75" hidden="1">
      <c r="A99" s="23" t="s">
        <v>160</v>
      </c>
      <c r="B99" s="250" t="s">
        <v>161</v>
      </c>
      <c r="C99" s="350">
        <f>Dec20!O99</f>
        <v>0</v>
      </c>
      <c r="D99" s="350">
        <f>Dec20!P99</f>
        <v>0</v>
      </c>
      <c r="E99" s="352"/>
      <c r="F99" s="344"/>
      <c r="G99" s="500">
        <f t="shared" si="3"/>
        <v>0</v>
      </c>
      <c r="H99" s="28"/>
    </row>
    <row r="100" spans="1:8" s="29" customFormat="1" ht="12.75" hidden="1">
      <c r="A100" s="23" t="s">
        <v>216</v>
      </c>
      <c r="B100" s="250" t="s">
        <v>162</v>
      </c>
      <c r="C100" s="350">
        <f>Dec20!O100</f>
        <v>1243320.72</v>
      </c>
      <c r="D100" s="350">
        <f>Dec20!P100</f>
        <v>0</v>
      </c>
      <c r="E100" s="352"/>
      <c r="F100" s="344">
        <v>1243320.72</v>
      </c>
      <c r="G100" s="500">
        <f t="shared" si="3"/>
        <v>0</v>
      </c>
      <c r="H100" s="28"/>
    </row>
    <row r="101" spans="1:8" s="29" customFormat="1" ht="12.75" hidden="1">
      <c r="A101" s="23" t="s">
        <v>56</v>
      </c>
      <c r="B101" s="250" t="s">
        <v>163</v>
      </c>
      <c r="C101" s="350">
        <f>Dec20!O101</f>
        <v>4000</v>
      </c>
      <c r="D101" s="350">
        <f>Dec20!P101</f>
        <v>0</v>
      </c>
      <c r="E101" s="352"/>
      <c r="F101" s="344">
        <v>4000</v>
      </c>
      <c r="G101" s="500">
        <f t="shared" si="3"/>
        <v>0</v>
      </c>
      <c r="H101" s="28"/>
    </row>
    <row r="102" spans="1:8" s="29" customFormat="1" ht="12.75" hidden="1">
      <c r="A102" s="23" t="s">
        <v>217</v>
      </c>
      <c r="B102" s="250" t="s">
        <v>218</v>
      </c>
      <c r="C102" s="350">
        <f>Dec20!O102</f>
        <v>0</v>
      </c>
      <c r="D102" s="350">
        <f>Dec20!P102</f>
        <v>0</v>
      </c>
      <c r="E102" s="352"/>
      <c r="F102" s="344"/>
      <c r="G102" s="500">
        <f t="shared" si="3"/>
        <v>0</v>
      </c>
      <c r="H102" s="28"/>
    </row>
    <row r="103" spans="1:8" s="29" customFormat="1" ht="12.75" hidden="1">
      <c r="A103" s="23" t="s">
        <v>164</v>
      </c>
      <c r="B103" s="250" t="s">
        <v>165</v>
      </c>
      <c r="C103" s="350">
        <f>Dec20!O103</f>
        <v>106653.04000000001</v>
      </c>
      <c r="D103" s="350">
        <f>Dec20!P103</f>
        <v>0</v>
      </c>
      <c r="E103" s="352"/>
      <c r="F103" s="344">
        <v>106653.04</v>
      </c>
      <c r="G103" s="500">
        <f t="shared" si="3"/>
        <v>0</v>
      </c>
      <c r="H103" s="28"/>
    </row>
    <row r="104" spans="1:8" s="29" customFormat="1" ht="12.75" hidden="1">
      <c r="A104" s="23" t="s">
        <v>570</v>
      </c>
      <c r="B104" s="250" t="s">
        <v>556</v>
      </c>
      <c r="C104" s="350">
        <f>Dec20!O104</f>
        <v>0</v>
      </c>
      <c r="D104" s="350">
        <f>Dec20!P104</f>
        <v>0</v>
      </c>
      <c r="E104" s="352"/>
      <c r="F104" s="344"/>
      <c r="G104" s="500">
        <f t="shared" si="3"/>
        <v>0</v>
      </c>
      <c r="H104" s="28"/>
    </row>
    <row r="105" spans="1:8" s="29" customFormat="1" ht="12.75" hidden="1">
      <c r="A105" s="23" t="s">
        <v>535</v>
      </c>
      <c r="B105" s="250" t="s">
        <v>521</v>
      </c>
      <c r="C105" s="350">
        <f>Dec20!O105</f>
        <v>0</v>
      </c>
      <c r="D105" s="350">
        <f>Dec20!P105</f>
        <v>0</v>
      </c>
      <c r="E105" s="352"/>
      <c r="F105" s="344"/>
      <c r="G105" s="500">
        <f t="shared" si="3"/>
        <v>0</v>
      </c>
      <c r="H105" s="28"/>
    </row>
    <row r="106" spans="1:8" s="29" customFormat="1" ht="12.75" hidden="1">
      <c r="A106" s="23" t="s">
        <v>536</v>
      </c>
      <c r="B106" s="250" t="s">
        <v>522</v>
      </c>
      <c r="C106" s="350">
        <f>Dec20!O106</f>
        <v>0</v>
      </c>
      <c r="D106" s="350">
        <f>Dec20!P106</f>
        <v>0</v>
      </c>
      <c r="E106" s="352"/>
      <c r="F106" s="344"/>
      <c r="G106" s="500">
        <f t="shared" si="3"/>
        <v>0</v>
      </c>
      <c r="H106" s="28"/>
    </row>
    <row r="107" spans="1:8" s="29" customFormat="1" ht="12.75" hidden="1">
      <c r="A107" s="23" t="s">
        <v>571</v>
      </c>
      <c r="B107" s="250" t="s">
        <v>572</v>
      </c>
      <c r="C107" s="350">
        <f>Dec20!O107</f>
        <v>0</v>
      </c>
      <c r="D107" s="350">
        <f>Dec20!P107</f>
        <v>0</v>
      </c>
      <c r="E107" s="352"/>
      <c r="F107" s="344"/>
      <c r="G107" s="500">
        <f t="shared" si="3"/>
        <v>0</v>
      </c>
      <c r="H107" s="28"/>
    </row>
    <row r="108" spans="1:8" s="29" customFormat="1" ht="12.75" hidden="1">
      <c r="A108" s="23" t="s">
        <v>573</v>
      </c>
      <c r="B108" s="250" t="s">
        <v>557</v>
      </c>
      <c r="C108" s="350">
        <f>Dec20!O108</f>
        <v>0</v>
      </c>
      <c r="D108" s="350">
        <f>Dec20!P108</f>
        <v>0</v>
      </c>
      <c r="E108" s="352"/>
      <c r="F108" s="344"/>
      <c r="G108" s="500">
        <f t="shared" si="3"/>
        <v>0</v>
      </c>
      <c r="H108" s="28"/>
    </row>
    <row r="109" spans="1:8" s="29" customFormat="1" ht="12.75" hidden="1">
      <c r="A109" s="23" t="s">
        <v>241</v>
      </c>
      <c r="B109" s="250" t="s">
        <v>235</v>
      </c>
      <c r="C109" s="350">
        <f>Dec20!O109</f>
        <v>0</v>
      </c>
      <c r="D109" s="350">
        <f>Dec20!P109</f>
        <v>0</v>
      </c>
      <c r="E109" s="352"/>
      <c r="F109" s="344"/>
      <c r="G109" s="500">
        <f t="shared" si="3"/>
        <v>0</v>
      </c>
      <c r="H109" s="28"/>
    </row>
    <row r="110" spans="1:8" s="29" customFormat="1" ht="12.75" hidden="1">
      <c r="A110" s="23" t="s">
        <v>166</v>
      </c>
      <c r="B110" s="250" t="s">
        <v>167</v>
      </c>
      <c r="C110" s="350">
        <f>Dec20!O110</f>
        <v>2328.25</v>
      </c>
      <c r="D110" s="350">
        <f>Dec20!P110</f>
        <v>0</v>
      </c>
      <c r="E110" s="352"/>
      <c r="F110" s="344">
        <v>2328.25</v>
      </c>
      <c r="G110" s="500">
        <f t="shared" si="3"/>
        <v>0</v>
      </c>
      <c r="H110" s="28"/>
    </row>
    <row r="111" spans="1:8" s="29" customFormat="1" ht="12.75" hidden="1">
      <c r="A111" s="23" t="s">
        <v>37</v>
      </c>
      <c r="B111" s="250" t="s">
        <v>168</v>
      </c>
      <c r="C111" s="350">
        <f>Dec20!O111</f>
        <v>33971.6</v>
      </c>
      <c r="D111" s="350">
        <f>Dec20!P111</f>
        <v>0</v>
      </c>
      <c r="E111" s="352"/>
      <c r="F111" s="344">
        <v>33971.6</v>
      </c>
      <c r="G111" s="500">
        <f t="shared" si="3"/>
        <v>0</v>
      </c>
      <c r="H111" s="28"/>
    </row>
    <row r="112" spans="1:8" s="29" customFormat="1" ht="12.75" hidden="1">
      <c r="A112" s="23" t="s">
        <v>43</v>
      </c>
      <c r="B112" s="250" t="s">
        <v>169</v>
      </c>
      <c r="C112" s="350">
        <f>Dec20!O112</f>
        <v>176474.3</v>
      </c>
      <c r="D112" s="350">
        <f>Dec20!P112</f>
        <v>0</v>
      </c>
      <c r="E112" s="352"/>
      <c r="F112" s="344">
        <v>176474.3</v>
      </c>
      <c r="G112" s="500">
        <f t="shared" si="3"/>
        <v>0</v>
      </c>
      <c r="H112" s="28"/>
    </row>
    <row r="113" spans="1:8" s="29" customFormat="1" ht="12.75" hidden="1">
      <c r="A113" s="23" t="s">
        <v>694</v>
      </c>
      <c r="B113" s="250" t="s">
        <v>695</v>
      </c>
      <c r="C113" s="350">
        <f>Dec20!O113</f>
        <v>0</v>
      </c>
      <c r="D113" s="350">
        <f>Dec20!P113</f>
        <v>0</v>
      </c>
      <c r="E113" s="352"/>
      <c r="F113" s="344"/>
      <c r="G113" s="500">
        <f t="shared" si="3"/>
        <v>0</v>
      </c>
      <c r="H113" s="28"/>
    </row>
    <row r="114" spans="1:8" s="29" customFormat="1" ht="12.75" hidden="1">
      <c r="A114" s="23" t="s">
        <v>29</v>
      </c>
      <c r="B114" s="250" t="s">
        <v>170</v>
      </c>
      <c r="C114" s="350">
        <f>Dec20!O114</f>
        <v>67889</v>
      </c>
      <c r="D114" s="350">
        <f>Dec20!P114</f>
        <v>0</v>
      </c>
      <c r="E114" s="352"/>
      <c r="F114" s="344">
        <v>67889</v>
      </c>
      <c r="G114" s="500">
        <f t="shared" si="3"/>
        <v>0</v>
      </c>
      <c r="H114" s="28"/>
    </row>
    <row r="115" spans="1:8" s="29" customFormat="1" ht="12.75" hidden="1">
      <c r="A115" s="23" t="s">
        <v>194</v>
      </c>
      <c r="B115" s="250" t="s">
        <v>196</v>
      </c>
      <c r="C115" s="350">
        <f>Dec20!O115</f>
        <v>95864.95000000001</v>
      </c>
      <c r="D115" s="350">
        <f>Dec20!P115</f>
        <v>0</v>
      </c>
      <c r="E115" s="352"/>
      <c r="F115" s="344">
        <v>95864.95</v>
      </c>
      <c r="G115" s="500">
        <f t="shared" si="3"/>
        <v>0</v>
      </c>
      <c r="H115" s="28"/>
    </row>
    <row r="116" spans="1:8" s="29" customFormat="1" ht="12.75" hidden="1">
      <c r="A116" s="23" t="s">
        <v>195</v>
      </c>
      <c r="B116" s="250" t="s">
        <v>197</v>
      </c>
      <c r="C116" s="350">
        <f>Dec20!O116</f>
        <v>31706.08</v>
      </c>
      <c r="D116" s="350">
        <f>Dec20!P116</f>
        <v>0</v>
      </c>
      <c r="E116" s="352"/>
      <c r="F116" s="344">
        <v>31706.08</v>
      </c>
      <c r="G116" s="500">
        <f t="shared" si="3"/>
        <v>0</v>
      </c>
      <c r="H116" s="28"/>
    </row>
    <row r="117" spans="1:8" s="29" customFormat="1" ht="12.75" hidden="1">
      <c r="A117" s="23" t="s">
        <v>171</v>
      </c>
      <c r="B117" s="250" t="s">
        <v>172</v>
      </c>
      <c r="C117" s="350">
        <f>Dec20!O117</f>
        <v>109099.09</v>
      </c>
      <c r="D117" s="350">
        <f>Dec20!P117</f>
        <v>0</v>
      </c>
      <c r="E117" s="352"/>
      <c r="F117" s="344">
        <v>109099.09</v>
      </c>
      <c r="G117" s="500">
        <f t="shared" si="3"/>
        <v>0</v>
      </c>
      <c r="H117" s="28"/>
    </row>
    <row r="118" spans="1:8" s="29" customFormat="1" ht="12.75" hidden="1">
      <c r="A118" s="23" t="s">
        <v>51</v>
      </c>
      <c r="B118" s="250" t="s">
        <v>173</v>
      </c>
      <c r="C118" s="350">
        <f>Dec20!O118</f>
        <v>300</v>
      </c>
      <c r="D118" s="350">
        <f>Dec20!P118</f>
        <v>0</v>
      </c>
      <c r="E118" s="352"/>
      <c r="F118" s="344">
        <v>300</v>
      </c>
      <c r="G118" s="500">
        <f t="shared" si="3"/>
        <v>0</v>
      </c>
      <c r="H118" s="28"/>
    </row>
    <row r="119" spans="1:8" s="29" customFormat="1" ht="12.75" hidden="1">
      <c r="A119" s="23" t="s">
        <v>539</v>
      </c>
      <c r="B119" s="250" t="s">
        <v>538</v>
      </c>
      <c r="C119" s="350">
        <f>Dec20!O119</f>
        <v>0</v>
      </c>
      <c r="D119" s="350">
        <f>Dec20!P119</f>
        <v>0</v>
      </c>
      <c r="E119" s="352"/>
      <c r="F119" s="344"/>
      <c r="G119" s="500">
        <f t="shared" si="3"/>
        <v>0</v>
      </c>
      <c r="H119" s="28"/>
    </row>
    <row r="120" spans="1:8" s="29" customFormat="1" ht="12.75" hidden="1">
      <c r="A120" s="23" t="s">
        <v>193</v>
      </c>
      <c r="B120" s="250" t="s">
        <v>190</v>
      </c>
      <c r="C120" s="350">
        <f>Dec20!O120</f>
        <v>110000.04</v>
      </c>
      <c r="D120" s="350">
        <f>Dec20!P120</f>
        <v>0</v>
      </c>
      <c r="E120" s="352"/>
      <c r="F120" s="344">
        <v>110000.04</v>
      </c>
      <c r="G120" s="500">
        <f t="shared" si="3"/>
        <v>0</v>
      </c>
      <c r="H120" s="28"/>
    </row>
    <row r="121" spans="1:8" s="29" customFormat="1" ht="12.75" hidden="1">
      <c r="A121" s="23" t="s">
        <v>71</v>
      </c>
      <c r="B121" s="250" t="s">
        <v>178</v>
      </c>
      <c r="C121" s="350">
        <f>Dec20!O121</f>
        <v>400</v>
      </c>
      <c r="D121" s="350">
        <f>Dec20!P121</f>
        <v>0</v>
      </c>
      <c r="E121" s="352"/>
      <c r="F121" s="344">
        <v>400</v>
      </c>
      <c r="G121" s="500">
        <f t="shared" si="3"/>
        <v>0</v>
      </c>
      <c r="H121" s="28"/>
    </row>
    <row r="122" spans="1:8" s="29" customFormat="1" ht="12.75" hidden="1">
      <c r="A122" s="23" t="s">
        <v>30</v>
      </c>
      <c r="B122" s="250" t="s">
        <v>179</v>
      </c>
      <c r="C122" s="350">
        <f>Dec20!O122</f>
        <v>0</v>
      </c>
      <c r="D122" s="350">
        <f>Dec20!P122</f>
        <v>0</v>
      </c>
      <c r="E122" s="352"/>
      <c r="F122" s="344"/>
      <c r="G122" s="500">
        <f t="shared" si="3"/>
        <v>0</v>
      </c>
      <c r="H122" s="28"/>
    </row>
    <row r="123" spans="1:8" s="29" customFormat="1" ht="12.75" hidden="1">
      <c r="A123" s="23" t="s">
        <v>198</v>
      </c>
      <c r="B123" s="250" t="s">
        <v>199</v>
      </c>
      <c r="C123" s="350">
        <f>Dec20!O123</f>
        <v>0</v>
      </c>
      <c r="D123" s="350">
        <f>Dec20!P123</f>
        <v>0</v>
      </c>
      <c r="E123" s="352"/>
      <c r="F123" s="344"/>
      <c r="G123" s="500">
        <f t="shared" si="3"/>
        <v>0</v>
      </c>
      <c r="H123" s="28"/>
    </row>
    <row r="124" spans="1:8" s="29" customFormat="1" ht="12.75" hidden="1">
      <c r="A124" s="23" t="s">
        <v>72</v>
      </c>
      <c r="B124" s="250" t="s">
        <v>182</v>
      </c>
      <c r="C124" s="350">
        <f>Dec20!O124</f>
        <v>649697.5399999999</v>
      </c>
      <c r="D124" s="350">
        <f>Dec20!P124</f>
        <v>0</v>
      </c>
      <c r="E124" s="352"/>
      <c r="F124" s="344">
        <v>649697.54</v>
      </c>
      <c r="G124" s="500">
        <f t="shared" si="3"/>
        <v>0</v>
      </c>
      <c r="H124" s="28"/>
    </row>
    <row r="125" spans="1:8" s="29" customFormat="1" ht="12.75" hidden="1">
      <c r="A125" s="23" t="s">
        <v>65</v>
      </c>
      <c r="B125" s="250" t="s">
        <v>183</v>
      </c>
      <c r="C125" s="350">
        <f>Dec20!O125</f>
        <v>0</v>
      </c>
      <c r="D125" s="350">
        <f>Dec20!P125</f>
        <v>0</v>
      </c>
      <c r="E125" s="352"/>
      <c r="F125" s="344"/>
      <c r="G125" s="500">
        <f t="shared" si="3"/>
        <v>0</v>
      </c>
      <c r="H125" s="28"/>
    </row>
    <row r="126" spans="1:8" s="29" customFormat="1" ht="12.75" hidden="1">
      <c r="A126" s="23" t="s">
        <v>180</v>
      </c>
      <c r="B126" s="250" t="s">
        <v>181</v>
      </c>
      <c r="C126" s="350">
        <f>Dec20!O126</f>
        <v>0</v>
      </c>
      <c r="D126" s="350">
        <f>Dec20!P126</f>
        <v>0</v>
      </c>
      <c r="E126" s="352"/>
      <c r="F126" s="344"/>
      <c r="G126" s="500">
        <f t="shared" si="3"/>
        <v>0</v>
      </c>
      <c r="H126" s="28"/>
    </row>
    <row r="127" spans="1:8" s="29" customFormat="1" ht="12.75" hidden="1">
      <c r="A127" s="23" t="s">
        <v>184</v>
      </c>
      <c r="B127" s="250" t="s">
        <v>185</v>
      </c>
      <c r="C127" s="350">
        <f>Dec20!O127</f>
        <v>97413.83</v>
      </c>
      <c r="D127" s="350">
        <f>Dec20!P127</f>
        <v>0</v>
      </c>
      <c r="E127" s="352"/>
      <c r="F127" s="344">
        <v>97413.83</v>
      </c>
      <c r="G127" s="500">
        <f t="shared" si="3"/>
        <v>0</v>
      </c>
      <c r="H127" s="28"/>
    </row>
    <row r="128" spans="1:8" s="29" customFormat="1" ht="12.75" hidden="1">
      <c r="A128" s="23" t="s">
        <v>186</v>
      </c>
      <c r="B128" s="250" t="s">
        <v>204</v>
      </c>
      <c r="C128" s="350">
        <f>Dec20!O128</f>
        <v>0</v>
      </c>
      <c r="D128" s="350">
        <f>Dec20!P128</f>
        <v>0</v>
      </c>
      <c r="E128" s="352"/>
      <c r="F128" s="344"/>
      <c r="G128" s="500">
        <f t="shared" si="3"/>
        <v>0</v>
      </c>
      <c r="H128" s="28"/>
    </row>
    <row r="129" spans="1:8" s="29" customFormat="1" ht="12.75" hidden="1">
      <c r="A129" s="23" t="s">
        <v>219</v>
      </c>
      <c r="B129" s="250" t="s">
        <v>205</v>
      </c>
      <c r="C129" s="350">
        <f>Dec20!O129</f>
        <v>79441.25</v>
      </c>
      <c r="D129" s="350">
        <f>Dec20!P129</f>
        <v>0</v>
      </c>
      <c r="E129" s="352"/>
      <c r="F129" s="344">
        <v>79441.25</v>
      </c>
      <c r="G129" s="500">
        <f t="shared" si="3"/>
        <v>0</v>
      </c>
      <c r="H129" s="28"/>
    </row>
    <row r="130" spans="1:8" s="29" customFormat="1" ht="12.75" hidden="1">
      <c r="A130" s="23" t="s">
        <v>220</v>
      </c>
      <c r="B130" s="250" t="s">
        <v>206</v>
      </c>
      <c r="C130" s="350">
        <f>Dec20!O130</f>
        <v>162390</v>
      </c>
      <c r="D130" s="350">
        <f>Dec20!P130</f>
        <v>0</v>
      </c>
      <c r="E130" s="352"/>
      <c r="F130" s="344">
        <v>162390</v>
      </c>
      <c r="G130" s="500">
        <f t="shared" si="3"/>
        <v>0</v>
      </c>
      <c r="H130" s="28"/>
    </row>
    <row r="131" spans="1:8" s="29" customFormat="1" ht="12.75" hidden="1">
      <c r="A131" s="23" t="s">
        <v>584</v>
      </c>
      <c r="B131" s="250" t="s">
        <v>585</v>
      </c>
      <c r="C131" s="350">
        <f>Dec20!O131</f>
        <v>0</v>
      </c>
      <c r="D131" s="350">
        <f>Dec20!P131</f>
        <v>0</v>
      </c>
      <c r="E131" s="352"/>
      <c r="F131" s="344"/>
      <c r="G131" s="500">
        <f t="shared" si="3"/>
        <v>0</v>
      </c>
      <c r="H131" s="28"/>
    </row>
    <row r="132" spans="1:8" s="29" customFormat="1" ht="12.75" hidden="1">
      <c r="A132" s="23" t="s">
        <v>188</v>
      </c>
      <c r="B132" s="250" t="s">
        <v>189</v>
      </c>
      <c r="C132" s="350">
        <f>Dec20!O132</f>
        <v>0</v>
      </c>
      <c r="D132" s="350">
        <f>Dec20!P132</f>
        <v>0</v>
      </c>
      <c r="E132" s="352"/>
      <c r="F132" s="344"/>
      <c r="G132" s="500">
        <f t="shared" si="3"/>
        <v>0</v>
      </c>
      <c r="H132" s="28"/>
    </row>
    <row r="133" spans="1:8" s="29" customFormat="1" ht="12.75" hidden="1">
      <c r="A133" s="23" t="s">
        <v>229</v>
      </c>
      <c r="B133" s="250" t="s">
        <v>227</v>
      </c>
      <c r="C133" s="350">
        <f>Dec20!O133</f>
        <v>72909</v>
      </c>
      <c r="D133" s="350">
        <f>Dec20!P133</f>
        <v>0</v>
      </c>
      <c r="E133" s="352"/>
      <c r="F133" s="344">
        <v>72909</v>
      </c>
      <c r="G133" s="500">
        <f t="shared" si="3"/>
        <v>0</v>
      </c>
      <c r="H133" s="28"/>
    </row>
    <row r="134" spans="1:8" s="29" customFormat="1" ht="12.75" hidden="1">
      <c r="A134" s="23" t="s">
        <v>797</v>
      </c>
      <c r="B134" s="250" t="s">
        <v>798</v>
      </c>
      <c r="C134" s="350">
        <f>Dec20!O134</f>
        <v>995000</v>
      </c>
      <c r="D134" s="350">
        <f>Dec20!P134</f>
        <v>0</v>
      </c>
      <c r="E134" s="352"/>
      <c r="F134" s="344">
        <v>995000</v>
      </c>
      <c r="G134" s="500">
        <f t="shared" si="3"/>
        <v>0</v>
      </c>
      <c r="H134" s="28"/>
    </row>
    <row r="135" spans="1:8" s="29" customFormat="1" ht="12.75" hidden="1">
      <c r="A135" s="23" t="s">
        <v>796</v>
      </c>
      <c r="B135" s="250" t="s">
        <v>795</v>
      </c>
      <c r="C135" s="350">
        <f>Dec20!O135</f>
        <v>3077702</v>
      </c>
      <c r="D135" s="350">
        <f>Dec20!P135</f>
        <v>0</v>
      </c>
      <c r="E135" s="344"/>
      <c r="F135" s="344">
        <v>3077702</v>
      </c>
      <c r="G135" s="500">
        <f t="shared" si="3"/>
        <v>0</v>
      </c>
      <c r="H135" s="28"/>
    </row>
    <row r="136" spans="1:8" s="29" customFormat="1" ht="12.75" hidden="1">
      <c r="A136" s="23" t="s">
        <v>233</v>
      </c>
      <c r="B136" s="250" t="s">
        <v>232</v>
      </c>
      <c r="C136" s="350">
        <f>Dec20!O136</f>
        <v>190941036.81</v>
      </c>
      <c r="D136" s="350">
        <f>Dec20!P136</f>
        <v>0</v>
      </c>
      <c r="E136" s="344"/>
      <c r="F136" s="344">
        <v>190941036.81</v>
      </c>
      <c r="G136" s="500">
        <f t="shared" si="3"/>
        <v>0</v>
      </c>
      <c r="H136" s="28"/>
    </row>
    <row r="137" spans="1:8" s="29" customFormat="1" ht="12.75" hidden="1">
      <c r="A137" s="23" t="s">
        <v>69</v>
      </c>
      <c r="B137" s="250" t="s">
        <v>191</v>
      </c>
      <c r="C137" s="350">
        <f>Dec20!O137</f>
        <v>45000</v>
      </c>
      <c r="D137" s="350">
        <f>Dec20!P137</f>
        <v>0</v>
      </c>
      <c r="E137" s="344"/>
      <c r="F137" s="347">
        <v>45000</v>
      </c>
      <c r="G137" s="500">
        <f t="shared" si="3"/>
        <v>0</v>
      </c>
      <c r="H137" s="28"/>
    </row>
    <row r="138" spans="1:8" s="29" customFormat="1" ht="12.75" hidden="1">
      <c r="A138" s="23" t="s">
        <v>211</v>
      </c>
      <c r="B138" s="250" t="s">
        <v>212</v>
      </c>
      <c r="C138" s="350">
        <f>Dec20!O138</f>
        <v>23115</v>
      </c>
      <c r="D138" s="350">
        <f>Dec20!P138</f>
        <v>0</v>
      </c>
      <c r="E138" s="344"/>
      <c r="F138" s="344">
        <v>23115</v>
      </c>
      <c r="G138" s="500">
        <f t="shared" si="3"/>
        <v>0</v>
      </c>
      <c r="H138" s="28"/>
    </row>
    <row r="139" spans="1:8" s="29" customFormat="1" ht="12.75" hidden="1">
      <c r="A139" s="23" t="s">
        <v>540</v>
      </c>
      <c r="B139" s="250" t="s">
        <v>523</v>
      </c>
      <c r="C139" s="350">
        <f>Dec20!O139</f>
        <v>0</v>
      </c>
      <c r="D139" s="350">
        <f>Dec20!P139</f>
        <v>0</v>
      </c>
      <c r="E139" s="344"/>
      <c r="F139" s="344"/>
      <c r="G139" s="500">
        <f aca="true" t="shared" si="4" ref="G139:G157">C139+E139-D139-F139</f>
        <v>0</v>
      </c>
      <c r="H139" s="110"/>
    </row>
    <row r="140" spans="1:8" s="29" customFormat="1" ht="12.75" hidden="1">
      <c r="A140" s="23" t="s">
        <v>73</v>
      </c>
      <c r="B140" s="250" t="s">
        <v>192</v>
      </c>
      <c r="C140" s="350">
        <f>Dec20!O140</f>
        <v>773017.66</v>
      </c>
      <c r="D140" s="350">
        <f>Dec20!P140</f>
        <v>0</v>
      </c>
      <c r="E140" s="344"/>
      <c r="F140" s="345">
        <v>773017.66</v>
      </c>
      <c r="G140" s="500">
        <f t="shared" si="4"/>
        <v>0</v>
      </c>
      <c r="H140" s="110"/>
    </row>
    <row r="141" spans="1:8" s="29" customFormat="1" ht="12.75" hidden="1">
      <c r="A141" s="23" t="s">
        <v>38</v>
      </c>
      <c r="B141" s="250" t="s">
        <v>175</v>
      </c>
      <c r="C141" s="350">
        <f>Dec20!O141</f>
        <v>0</v>
      </c>
      <c r="D141" s="350">
        <f>Dec20!P141</f>
        <v>0</v>
      </c>
      <c r="E141" s="344"/>
      <c r="F141" s="345"/>
      <c r="G141" s="500">
        <f t="shared" si="4"/>
        <v>0</v>
      </c>
      <c r="H141" s="110"/>
    </row>
    <row r="142" spans="1:8" s="29" customFormat="1" ht="12.75" hidden="1">
      <c r="A142" s="23" t="s">
        <v>62</v>
      </c>
      <c r="B142" s="250" t="s">
        <v>176</v>
      </c>
      <c r="C142" s="350">
        <f>Dec20!O142</f>
        <v>0</v>
      </c>
      <c r="D142" s="350">
        <f>Dec20!P142</f>
        <v>0</v>
      </c>
      <c r="E142" s="344"/>
      <c r="F142" s="344"/>
      <c r="G142" s="500">
        <f t="shared" si="4"/>
        <v>0</v>
      </c>
      <c r="H142" s="110"/>
    </row>
    <row r="143" spans="1:8" s="29" customFormat="1" ht="12.75" hidden="1">
      <c r="A143" s="23" t="s">
        <v>63</v>
      </c>
      <c r="B143" s="250" t="s">
        <v>177</v>
      </c>
      <c r="C143" s="350">
        <f>Dec20!O143</f>
        <v>8181.08</v>
      </c>
      <c r="D143" s="350">
        <f>Dec20!P143</f>
        <v>0</v>
      </c>
      <c r="E143" s="344"/>
      <c r="F143" s="344">
        <v>8181.08</v>
      </c>
      <c r="G143" s="500">
        <f t="shared" si="4"/>
        <v>0</v>
      </c>
      <c r="H143" s="110"/>
    </row>
    <row r="144" spans="1:8" ht="12.75" hidden="1">
      <c r="A144" s="23" t="s">
        <v>560</v>
      </c>
      <c r="B144" s="250" t="s">
        <v>561</v>
      </c>
      <c r="C144" s="350">
        <f>Dec20!O144</f>
        <v>1105</v>
      </c>
      <c r="D144" s="350">
        <f>Dec20!P144</f>
        <v>0</v>
      </c>
      <c r="E144" s="344"/>
      <c r="F144" s="344">
        <v>1105</v>
      </c>
      <c r="G144" s="500">
        <f t="shared" si="4"/>
        <v>0</v>
      </c>
      <c r="H144" s="110"/>
    </row>
    <row r="145" spans="1:8" ht="12.75" hidden="1">
      <c r="A145" s="23" t="s">
        <v>53</v>
      </c>
      <c r="B145" s="250" t="s">
        <v>528</v>
      </c>
      <c r="C145" s="350">
        <f>Dec20!O145</f>
        <v>922352.9099999999</v>
      </c>
      <c r="D145" s="350">
        <f>Dec20!P145</f>
        <v>0</v>
      </c>
      <c r="E145" s="344"/>
      <c r="F145" s="344">
        <v>922352.91</v>
      </c>
      <c r="G145" s="500">
        <f t="shared" si="4"/>
        <v>0</v>
      </c>
      <c r="H145" s="110"/>
    </row>
    <row r="146" spans="1:8" ht="12.75" hidden="1">
      <c r="A146" s="23" t="s">
        <v>701</v>
      </c>
      <c r="B146" s="250" t="s">
        <v>702</v>
      </c>
      <c r="C146" s="350">
        <f>Dec20!O146</f>
        <v>0</v>
      </c>
      <c r="D146" s="350">
        <f>Dec20!P146</f>
        <v>0</v>
      </c>
      <c r="E146" s="344"/>
      <c r="F146" s="344"/>
      <c r="G146" s="500">
        <f t="shared" si="4"/>
        <v>0</v>
      </c>
      <c r="H146" s="110"/>
    </row>
    <row r="147" spans="1:8" ht="12.75" hidden="1">
      <c r="A147" s="23" t="s">
        <v>68</v>
      </c>
      <c r="B147" s="250" t="s">
        <v>174</v>
      </c>
      <c r="C147" s="350">
        <f>Dec20!O147</f>
        <v>0</v>
      </c>
      <c r="D147" s="350">
        <f>Dec20!P147</f>
        <v>0</v>
      </c>
      <c r="E147" s="344"/>
      <c r="F147" s="344"/>
      <c r="G147" s="500">
        <f t="shared" si="4"/>
        <v>0</v>
      </c>
      <c r="H147" s="110"/>
    </row>
    <row r="148" spans="1:8" ht="12.75" hidden="1">
      <c r="A148" s="8" t="s">
        <v>805</v>
      </c>
      <c r="B148" s="250" t="s">
        <v>806</v>
      </c>
      <c r="C148" s="350">
        <f>Dec20!O148</f>
        <v>7260</v>
      </c>
      <c r="D148" s="350">
        <f>Dec20!P148</f>
        <v>0</v>
      </c>
      <c r="E148" s="344"/>
      <c r="F148" s="344">
        <v>7260</v>
      </c>
      <c r="G148" s="500">
        <f t="shared" si="4"/>
        <v>0</v>
      </c>
      <c r="H148" s="110"/>
    </row>
    <row r="149" spans="1:8" ht="12.75" hidden="1">
      <c r="A149" s="23" t="s">
        <v>23</v>
      </c>
      <c r="B149" s="250" t="s">
        <v>524</v>
      </c>
      <c r="C149" s="350">
        <f>Dec20!O149</f>
        <v>1783067.8000000003</v>
      </c>
      <c r="D149" s="350">
        <f>Dec20!P149</f>
        <v>0</v>
      </c>
      <c r="E149" s="344"/>
      <c r="F149" s="344">
        <v>1783067.8</v>
      </c>
      <c r="G149" s="500">
        <f t="shared" si="4"/>
        <v>0</v>
      </c>
      <c r="H149" s="110"/>
    </row>
    <row r="150" spans="1:8" ht="12.75" hidden="1">
      <c r="A150" s="8" t="s">
        <v>81</v>
      </c>
      <c r="B150" s="250" t="s">
        <v>804</v>
      </c>
      <c r="C150" s="350">
        <f>Dec20!O150</f>
        <v>125574.17</v>
      </c>
      <c r="D150" s="350">
        <f>Dec20!P150</f>
        <v>0</v>
      </c>
      <c r="E150" s="344"/>
      <c r="F150" s="344">
        <v>125574.17</v>
      </c>
      <c r="G150" s="500">
        <f t="shared" si="4"/>
        <v>0</v>
      </c>
      <c r="H150" s="110"/>
    </row>
    <row r="151" spans="1:8" ht="12.75" hidden="1">
      <c r="A151" s="8" t="s">
        <v>214</v>
      </c>
      <c r="B151" s="250" t="s">
        <v>574</v>
      </c>
      <c r="C151" s="350">
        <f>Dec20!O151</f>
        <v>229529.5</v>
      </c>
      <c r="D151" s="350">
        <f>Dec20!P151</f>
        <v>0</v>
      </c>
      <c r="E151" s="344"/>
      <c r="F151" s="344">
        <v>229529.5</v>
      </c>
      <c r="G151" s="500">
        <f t="shared" si="4"/>
        <v>0</v>
      </c>
      <c r="H151" s="110"/>
    </row>
    <row r="152" spans="1:8" ht="12.75" hidden="1">
      <c r="A152" s="8" t="s">
        <v>77</v>
      </c>
      <c r="B152" s="250" t="s">
        <v>575</v>
      </c>
      <c r="C152" s="350">
        <f>Dec20!O152</f>
        <v>58222.23</v>
      </c>
      <c r="D152" s="350">
        <f>Dec20!P152</f>
        <v>0</v>
      </c>
      <c r="E152" s="344"/>
      <c r="F152" s="344">
        <v>58222.23</v>
      </c>
      <c r="G152" s="500">
        <f t="shared" si="4"/>
        <v>0</v>
      </c>
      <c r="H152" s="110"/>
    </row>
    <row r="153" spans="1:8" ht="12.75" hidden="1">
      <c r="A153" s="8" t="s">
        <v>78</v>
      </c>
      <c r="B153" s="250" t="s">
        <v>576</v>
      </c>
      <c r="C153" s="350">
        <f>Dec20!O153</f>
        <v>160832.09</v>
      </c>
      <c r="D153" s="350">
        <f>Dec20!P153</f>
        <v>0</v>
      </c>
      <c r="E153" s="344"/>
      <c r="F153" s="344">
        <v>160832.09</v>
      </c>
      <c r="G153" s="500">
        <f t="shared" si="4"/>
        <v>0</v>
      </c>
      <c r="H153" s="110"/>
    </row>
    <row r="154" spans="1:8" ht="12.75" hidden="1">
      <c r="A154" s="8" t="s">
        <v>801</v>
      </c>
      <c r="B154" s="250" t="s">
        <v>802</v>
      </c>
      <c r="C154" s="350">
        <f>Dec20!O154</f>
        <v>780776.76</v>
      </c>
      <c r="D154" s="350">
        <f>Dec20!P154</f>
        <v>0</v>
      </c>
      <c r="E154" s="344"/>
      <c r="F154" s="344">
        <v>780776.76</v>
      </c>
      <c r="G154" s="500">
        <f t="shared" si="4"/>
        <v>0</v>
      </c>
      <c r="H154" s="110"/>
    </row>
    <row r="155" spans="1:8" ht="12.75" hidden="1">
      <c r="A155" s="8" t="s">
        <v>803</v>
      </c>
      <c r="B155" s="250" t="s">
        <v>579</v>
      </c>
      <c r="C155" s="350">
        <f>Dec20!O155</f>
        <v>21674.35</v>
      </c>
      <c r="D155" s="350">
        <f>Dec20!P155</f>
        <v>0</v>
      </c>
      <c r="E155" s="344"/>
      <c r="F155" s="344">
        <v>21674.35</v>
      </c>
      <c r="G155" s="500">
        <f t="shared" si="4"/>
        <v>0</v>
      </c>
      <c r="H155" s="524"/>
    </row>
    <row r="156" spans="1:8" ht="12.75" hidden="1">
      <c r="A156" s="8" t="s">
        <v>580</v>
      </c>
      <c r="B156" s="250" t="s">
        <v>581</v>
      </c>
      <c r="C156" s="350">
        <f>Dec20!O156</f>
        <v>5117.84</v>
      </c>
      <c r="D156" s="350">
        <f>Dec20!P156</f>
        <v>0</v>
      </c>
      <c r="E156" s="344"/>
      <c r="F156" s="344">
        <v>5117.84</v>
      </c>
      <c r="G156" s="500">
        <f t="shared" si="4"/>
        <v>0</v>
      </c>
      <c r="H156" s="524"/>
    </row>
    <row r="157" spans="1:8" ht="13.5" hidden="1" thickBot="1">
      <c r="A157" s="8" t="s">
        <v>737</v>
      </c>
      <c r="B157" s="510" t="s">
        <v>582</v>
      </c>
      <c r="C157" s="350">
        <f>Dec20!O157</f>
        <v>47947.91</v>
      </c>
      <c r="D157" s="350">
        <f>Dec20!P157</f>
        <v>0</v>
      </c>
      <c r="E157" s="344"/>
      <c r="F157" s="344">
        <v>47947.91</v>
      </c>
      <c r="G157" s="500">
        <f t="shared" si="4"/>
        <v>0</v>
      </c>
      <c r="H157" s="524"/>
    </row>
    <row r="158" spans="1:8" ht="13.5" thickBot="1">
      <c r="A158" s="339"/>
      <c r="B158" s="520"/>
      <c r="C158" s="521">
        <f aca="true" t="shared" si="5" ref="C158:H158">SUM(C14:C157)</f>
        <v>336286918.52000004</v>
      </c>
      <c r="D158" s="521">
        <f t="shared" si="5"/>
        <v>336286918.52</v>
      </c>
      <c r="E158" s="521">
        <f t="shared" si="5"/>
        <v>496902416.27</v>
      </c>
      <c r="F158" s="521">
        <f t="shared" si="5"/>
        <v>496902416.27000016</v>
      </c>
      <c r="G158" s="521">
        <f t="shared" si="5"/>
        <v>84952397.48999996</v>
      </c>
      <c r="H158" s="521">
        <f t="shared" si="5"/>
        <v>84952397.49000001</v>
      </c>
    </row>
    <row r="159" spans="4:8" ht="12.75">
      <c r="D159" s="346">
        <f>C158-D158</f>
        <v>0</v>
      </c>
      <c r="F159" s="346">
        <f>E158-F158</f>
        <v>0</v>
      </c>
      <c r="H159" s="346">
        <f>G158-H158</f>
        <v>0</v>
      </c>
    </row>
    <row r="162" spans="1:7" ht="12.75">
      <c r="A162" s="17" t="s">
        <v>658</v>
      </c>
      <c r="D162" s="346">
        <f>C158-D158</f>
        <v>0</v>
      </c>
      <c r="G162" s="20" t="s">
        <v>815</v>
      </c>
    </row>
    <row r="163" spans="1:8" ht="12.75">
      <c r="A163" s="16" t="s">
        <v>210</v>
      </c>
      <c r="G163" s="567" t="s">
        <v>224</v>
      </c>
      <c r="H163" s="567"/>
    </row>
  </sheetData>
  <sheetProtection/>
  <mergeCells count="15">
    <mergeCell ref="H10:H11"/>
    <mergeCell ref="A9:D9"/>
    <mergeCell ref="A10:A11"/>
    <mergeCell ref="C10:C11"/>
    <mergeCell ref="D10:D11"/>
    <mergeCell ref="G163:H163"/>
    <mergeCell ref="E10:E11"/>
    <mergeCell ref="F10:F11"/>
    <mergeCell ref="G10:G11"/>
    <mergeCell ref="A7:H7"/>
    <mergeCell ref="A8:H8"/>
    <mergeCell ref="A2:H2"/>
    <mergeCell ref="A3:H3"/>
    <mergeCell ref="A5:H5"/>
    <mergeCell ref="A6:H6"/>
  </mergeCells>
  <printOptions/>
  <pageMargins left="1" right="0.2" top="0.5" bottom="0.25" header="0.3" footer="0.3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selection activeCell="A1" sqref="A1:E168"/>
    </sheetView>
  </sheetViews>
  <sheetFormatPr defaultColWidth="9.140625" defaultRowHeight="12.75"/>
  <cols>
    <col min="1" max="1" width="2.421875" style="77" customWidth="1"/>
    <col min="2" max="2" width="50.7109375" style="77" customWidth="1"/>
    <col min="3" max="3" width="14.8515625" style="77" customWidth="1"/>
    <col min="4" max="4" width="1.7109375" style="77" customWidth="1"/>
    <col min="5" max="5" width="14.8515625" style="77" bestFit="1" customWidth="1"/>
    <col min="6" max="6" width="0" style="76" hidden="1" customWidth="1"/>
    <col min="7" max="7" width="12.8515625" style="76" hidden="1" customWidth="1"/>
    <col min="8" max="8" width="0" style="76" hidden="1" customWidth="1"/>
    <col min="9" max="9" width="9.8515625" style="77" bestFit="1" customWidth="1"/>
    <col min="10" max="16384" width="9.140625" style="77" customWidth="1"/>
  </cols>
  <sheetData>
    <row r="1" spans="1:5" ht="12.75">
      <c r="A1" s="551" t="s">
        <v>1</v>
      </c>
      <c r="B1" s="551"/>
      <c r="C1" s="551"/>
      <c r="D1" s="551"/>
      <c r="E1" s="551"/>
    </row>
    <row r="2" spans="1:5" ht="12.75">
      <c r="A2" s="551" t="s">
        <v>246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">
        <v>807</v>
      </c>
      <c r="B4" s="552"/>
      <c r="C4" s="552"/>
      <c r="D4" s="552"/>
      <c r="E4" s="552"/>
    </row>
    <row r="5" spans="1:5" ht="12.75">
      <c r="A5" s="1"/>
      <c r="B5" s="1"/>
      <c r="C5" s="1"/>
      <c r="D5" s="1"/>
      <c r="E5" s="1"/>
    </row>
    <row r="6" spans="1:5" ht="12.75">
      <c r="A6" s="20" t="s">
        <v>247</v>
      </c>
      <c r="B6" s="1"/>
      <c r="C6" s="1"/>
      <c r="D6" s="1"/>
      <c r="E6" s="1"/>
    </row>
    <row r="7" spans="1:5" ht="6.75" customHeight="1">
      <c r="A7" s="1"/>
      <c r="B7" s="1"/>
      <c r="C7" s="78"/>
      <c r="D7" s="78"/>
      <c r="E7" s="1"/>
    </row>
    <row r="8" spans="1:5" s="76" customFormat="1" ht="14.25" customHeight="1">
      <c r="A8" s="80" t="s">
        <v>248</v>
      </c>
      <c r="C8" s="146">
        <v>0</v>
      </c>
      <c r="D8" s="79"/>
      <c r="E8" s="95"/>
    </row>
    <row r="9" spans="1:5" ht="14.25" customHeight="1">
      <c r="A9" s="1"/>
      <c r="B9" s="1"/>
      <c r="C9" s="78"/>
      <c r="D9" s="78"/>
      <c r="E9" s="79"/>
    </row>
    <row r="10" spans="1:5" ht="12.75">
      <c r="A10" s="2" t="s">
        <v>249</v>
      </c>
      <c r="B10" s="1"/>
      <c r="C10" s="78"/>
      <c r="D10" s="78"/>
      <c r="E10" s="78"/>
    </row>
    <row r="11" spans="1:5" ht="6.75" customHeight="1">
      <c r="A11" s="2"/>
      <c r="B11" s="3"/>
      <c r="C11" s="79"/>
      <c r="D11" s="78"/>
      <c r="E11" s="78"/>
    </row>
    <row r="12" spans="1:5" ht="12.75" customHeight="1">
      <c r="A12" s="2"/>
      <c r="B12" s="80" t="s">
        <v>250</v>
      </c>
      <c r="C12" s="79"/>
      <c r="D12" s="78"/>
      <c r="E12" s="78"/>
    </row>
    <row r="13" spans="1:5" ht="12.75" customHeight="1">
      <c r="A13" s="2"/>
      <c r="B13" s="131" t="s">
        <v>251</v>
      </c>
      <c r="C13" s="79"/>
      <c r="D13" s="78"/>
      <c r="E13" s="78"/>
    </row>
    <row r="14" spans="1:5" ht="12.75">
      <c r="A14" s="80"/>
      <c r="B14" s="132" t="s">
        <v>143</v>
      </c>
      <c r="C14" s="91">
        <f>'TB-4th Qtr'!C74</f>
        <v>14425905.999999996</v>
      </c>
      <c r="D14" s="92">
        <v>12553153.57</v>
      </c>
      <c r="E14" s="78"/>
    </row>
    <row r="15" spans="1:5" ht="12.75">
      <c r="A15" s="80"/>
      <c r="B15" s="133" t="s">
        <v>252</v>
      </c>
      <c r="C15" s="134">
        <f>+C14</f>
        <v>14425905.999999996</v>
      </c>
      <c r="D15" s="92"/>
      <c r="E15" s="78"/>
    </row>
    <row r="16" spans="1:5" ht="12.75">
      <c r="A16" s="80"/>
      <c r="B16" s="132"/>
      <c r="C16" s="92"/>
      <c r="D16" s="92"/>
      <c r="E16" s="78"/>
    </row>
    <row r="17" spans="1:5" ht="12.75">
      <c r="A17" s="80"/>
      <c r="B17" s="131" t="s">
        <v>208</v>
      </c>
      <c r="C17" s="92"/>
      <c r="D17" s="92"/>
      <c r="E17" s="78"/>
    </row>
    <row r="18" spans="1:5" ht="12.75">
      <c r="A18" s="80"/>
      <c r="B18" s="132" t="s">
        <v>20</v>
      </c>
      <c r="C18" s="92">
        <f>'TB-4th Qtr'!C75</f>
        <v>510000</v>
      </c>
      <c r="D18" s="92">
        <v>982077</v>
      </c>
      <c r="E18" s="78"/>
    </row>
    <row r="19" spans="1:5" ht="12.75">
      <c r="A19" s="80"/>
      <c r="B19" s="132" t="s">
        <v>21</v>
      </c>
      <c r="C19" s="92">
        <f>'TB-4th Qtr'!C76</f>
        <v>228000</v>
      </c>
      <c r="D19" s="92">
        <v>488250</v>
      </c>
      <c r="E19" s="78"/>
    </row>
    <row r="20" spans="1:5" ht="12.75">
      <c r="A20" s="80"/>
      <c r="B20" s="132" t="s">
        <v>22</v>
      </c>
      <c r="C20" s="92">
        <f>'TB-4th Qtr'!C77</f>
        <v>228000</v>
      </c>
      <c r="D20" s="92"/>
      <c r="E20" s="78"/>
    </row>
    <row r="21" spans="1:5" ht="12.75">
      <c r="A21" s="80"/>
      <c r="B21" s="132" t="s">
        <v>67</v>
      </c>
      <c r="C21" s="92">
        <f>'TB-4th Qtr'!C78</f>
        <v>408000</v>
      </c>
      <c r="D21" s="92"/>
      <c r="E21" s="78"/>
    </row>
    <row r="22" spans="1:5" ht="12.75" customHeight="1">
      <c r="A22" s="80"/>
      <c r="B22" s="132" t="s">
        <v>149</v>
      </c>
      <c r="C22" s="92">
        <f>'TB-4th Qtr'!C79</f>
        <v>0</v>
      </c>
      <c r="D22" s="92"/>
      <c r="E22" s="78"/>
    </row>
    <row r="23" spans="1:5" ht="12.75">
      <c r="A23" s="80"/>
      <c r="B23" s="132" t="s">
        <v>66</v>
      </c>
      <c r="C23" s="92">
        <f>'TB-4th Qtr'!C80</f>
        <v>0</v>
      </c>
      <c r="D23" s="92"/>
      <c r="E23" s="78"/>
    </row>
    <row r="24" spans="1:5" ht="12.75">
      <c r="A24" s="80"/>
      <c r="B24" s="132" t="s">
        <v>808</v>
      </c>
      <c r="C24" s="92">
        <f>'TB-4th Qtr'!C82</f>
        <v>1205242</v>
      </c>
      <c r="D24" s="92"/>
      <c r="E24" s="78"/>
    </row>
    <row r="25" spans="1:5" ht="12.75">
      <c r="A25" s="80"/>
      <c r="B25" s="132" t="s">
        <v>242</v>
      </c>
      <c r="C25" s="92">
        <f>'TB-4th Qtr'!C83</f>
        <v>0</v>
      </c>
      <c r="D25" s="92"/>
      <c r="E25" s="78"/>
    </row>
    <row r="26" spans="1:5" ht="12.75">
      <c r="A26" s="80"/>
      <c r="B26" s="132" t="s">
        <v>75</v>
      </c>
      <c r="C26" s="92">
        <f>'TB-4th Qtr'!C84</f>
        <v>110000</v>
      </c>
      <c r="D26" s="92"/>
      <c r="E26" s="78"/>
    </row>
    <row r="27" spans="1:5" ht="12.75">
      <c r="A27" s="80"/>
      <c r="B27" s="132" t="s">
        <v>562</v>
      </c>
      <c r="C27" s="92">
        <f>'TB-4th Qtr'!C86</f>
        <v>1084000</v>
      </c>
      <c r="D27" s="92"/>
      <c r="E27" s="78"/>
    </row>
    <row r="28" spans="1:5" ht="12.75">
      <c r="A28" s="80"/>
      <c r="B28" s="132" t="s">
        <v>637</v>
      </c>
      <c r="C28" s="92">
        <f>'TB-4th Qtr'!C87</f>
        <v>110000</v>
      </c>
      <c r="D28" s="92"/>
      <c r="E28" s="78"/>
    </row>
    <row r="29" spans="1:5" ht="12.75">
      <c r="A29" s="80"/>
      <c r="B29" s="133" t="s">
        <v>253</v>
      </c>
      <c r="C29" s="134">
        <f>SUM(C18:C28)</f>
        <v>3883242</v>
      </c>
      <c r="D29" s="92"/>
      <c r="E29" s="78"/>
    </row>
    <row r="30" spans="1:5" ht="12.75">
      <c r="A30" s="80"/>
      <c r="B30" s="29"/>
      <c r="C30" s="92"/>
      <c r="D30" s="92"/>
      <c r="E30" s="78"/>
    </row>
    <row r="31" spans="1:5" ht="12.75">
      <c r="A31" s="80"/>
      <c r="B31" s="131" t="s">
        <v>254</v>
      </c>
      <c r="C31" s="92"/>
      <c r="D31" s="92"/>
      <c r="E31" s="78"/>
    </row>
    <row r="32" spans="1:7" ht="12.75">
      <c r="A32" s="80"/>
      <c r="B32" s="132" t="s">
        <v>255</v>
      </c>
      <c r="C32" s="92">
        <f>'TB-4th Qtr'!C89</f>
        <v>274097.64</v>
      </c>
      <c r="D32" s="92"/>
      <c r="E32" s="78"/>
      <c r="G32" s="81">
        <f>SUM(C14:C32)</f>
        <v>36892393.63999999</v>
      </c>
    </row>
    <row r="33" spans="1:5" ht="12.75">
      <c r="A33" s="80"/>
      <c r="B33" s="132" t="s">
        <v>34</v>
      </c>
      <c r="C33" s="92">
        <f>'TB-4th Qtr'!C90</f>
        <v>37316.159999999996</v>
      </c>
      <c r="D33" s="92"/>
      <c r="E33" s="78"/>
    </row>
    <row r="34" spans="1:7" ht="12.75">
      <c r="A34" s="80"/>
      <c r="B34" s="132" t="s">
        <v>35</v>
      </c>
      <c r="C34" s="92">
        <f>'TB-4th Qtr'!C91</f>
        <v>168539.77</v>
      </c>
      <c r="D34" s="92"/>
      <c r="E34" s="78"/>
      <c r="G34" s="81"/>
    </row>
    <row r="35" spans="1:5" ht="12.75">
      <c r="A35" s="80"/>
      <c r="B35" s="132" t="s">
        <v>256</v>
      </c>
      <c r="C35" s="91">
        <f>'TB-4th Qtr'!C92</f>
        <v>24500</v>
      </c>
      <c r="D35" s="92"/>
      <c r="E35" s="78"/>
    </row>
    <row r="36" spans="1:5" ht="12.75">
      <c r="A36" s="80"/>
      <c r="B36" s="133" t="s">
        <v>257</v>
      </c>
      <c r="C36" s="134">
        <f>SUM(C32:C35)</f>
        <v>504453.56999999995</v>
      </c>
      <c r="D36" s="92"/>
      <c r="E36" s="78"/>
    </row>
    <row r="37" spans="1:5" ht="12.75">
      <c r="A37" s="80"/>
      <c r="B37" s="29"/>
      <c r="C37" s="92"/>
      <c r="D37" s="92"/>
      <c r="E37" s="78"/>
    </row>
    <row r="38" spans="1:5" ht="12.75">
      <c r="A38" s="80"/>
      <c r="B38" s="131" t="s">
        <v>208</v>
      </c>
      <c r="C38" s="92"/>
      <c r="D38" s="92"/>
      <c r="E38" s="78"/>
    </row>
    <row r="39" spans="1:5" ht="12.75">
      <c r="A39" s="80"/>
      <c r="B39" s="132" t="s">
        <v>98</v>
      </c>
      <c r="C39" s="92"/>
      <c r="D39" s="92"/>
      <c r="E39" s="78"/>
    </row>
    <row r="40" spans="1:5" ht="12.75">
      <c r="A40" s="80"/>
      <c r="B40" s="132" t="s">
        <v>722</v>
      </c>
      <c r="C40" s="92">
        <f>'TB-4th Qtr'!C95</f>
        <v>1047856.5</v>
      </c>
      <c r="D40" s="92"/>
      <c r="E40" s="78"/>
    </row>
    <row r="41" spans="1:5" ht="12.75">
      <c r="A41" s="80"/>
      <c r="B41" s="132" t="s">
        <v>208</v>
      </c>
      <c r="C41" s="91">
        <f>'TB-4th Qtr'!C94</f>
        <v>2504052.88</v>
      </c>
      <c r="D41" s="92"/>
      <c r="E41" s="78"/>
    </row>
    <row r="42" spans="1:5" ht="12.75">
      <c r="A42" s="80"/>
      <c r="B42" s="133" t="s">
        <v>258</v>
      </c>
      <c r="C42" s="134">
        <f>SUM(C39:C41)</f>
        <v>3551909.38</v>
      </c>
      <c r="D42" s="92"/>
      <c r="E42" s="78"/>
    </row>
    <row r="43" spans="1:5" ht="12.75">
      <c r="A43" s="80"/>
      <c r="B43" s="29"/>
      <c r="C43" s="92"/>
      <c r="D43" s="92"/>
      <c r="E43" s="78"/>
    </row>
    <row r="44" spans="1:9" ht="12.75">
      <c r="A44" s="80"/>
      <c r="B44" s="130" t="s">
        <v>259</v>
      </c>
      <c r="C44" s="137">
        <f>C15+C29+C36+C42</f>
        <v>22365510.949999996</v>
      </c>
      <c r="D44" s="92"/>
      <c r="E44" s="78"/>
      <c r="I44" s="348"/>
    </row>
    <row r="45" spans="1:5" ht="12.75">
      <c r="A45" s="80"/>
      <c r="B45" s="29"/>
      <c r="C45" s="92"/>
      <c r="D45" s="92"/>
      <c r="E45" s="78"/>
    </row>
    <row r="46" spans="2:5" ht="12.75">
      <c r="B46" s="80" t="s">
        <v>93</v>
      </c>
      <c r="C46" s="92"/>
      <c r="D46" s="92"/>
      <c r="E46" s="78"/>
    </row>
    <row r="47" spans="1:5" ht="12.75">
      <c r="A47" s="80"/>
      <c r="B47" s="131" t="s">
        <v>260</v>
      </c>
      <c r="C47" s="92"/>
      <c r="D47" s="92"/>
      <c r="E47" s="78"/>
    </row>
    <row r="48" spans="1:5" ht="12.75">
      <c r="A48" s="80"/>
      <c r="B48" s="132" t="s">
        <v>28</v>
      </c>
      <c r="C48" s="92">
        <f>'TB-4th Qtr'!C96</f>
        <v>614300.68</v>
      </c>
      <c r="D48" s="92"/>
      <c r="E48" s="78"/>
    </row>
    <row r="49" spans="1:5" ht="12.75">
      <c r="A49" s="80"/>
      <c r="B49" s="132" t="s">
        <v>243</v>
      </c>
      <c r="C49" s="91">
        <f>'TB-4th Qtr'!C97</f>
        <v>0</v>
      </c>
      <c r="D49" s="92"/>
      <c r="E49" s="78"/>
    </row>
    <row r="50" spans="1:5" ht="12.75">
      <c r="A50" s="80"/>
      <c r="B50" s="133" t="s">
        <v>261</v>
      </c>
      <c r="C50" s="134">
        <f>SUM(C48:C49)</f>
        <v>614300.68</v>
      </c>
      <c r="D50" s="92"/>
      <c r="E50" s="78"/>
    </row>
    <row r="51" spans="1:5" ht="12.75">
      <c r="A51" s="80"/>
      <c r="B51" s="132"/>
      <c r="C51" s="92"/>
      <c r="D51" s="92"/>
      <c r="E51" s="78"/>
    </row>
    <row r="52" spans="1:5" ht="12.75">
      <c r="A52" s="80"/>
      <c r="B52" s="131" t="s">
        <v>262</v>
      </c>
      <c r="C52" s="92"/>
      <c r="D52" s="92"/>
      <c r="E52" s="78"/>
    </row>
    <row r="53" spans="1:5" ht="12.75">
      <c r="A53" s="80"/>
      <c r="B53" s="132" t="s">
        <v>27</v>
      </c>
      <c r="C53" s="92">
        <f>'TB-4th Qtr'!C98</f>
        <v>3397311.25</v>
      </c>
      <c r="D53" s="92"/>
      <c r="E53" s="78"/>
    </row>
    <row r="54" spans="1:5" ht="12.75">
      <c r="A54" s="80"/>
      <c r="B54" s="132" t="s">
        <v>263</v>
      </c>
      <c r="C54" s="91">
        <f>'TB-4th Qtr'!C99</f>
        <v>0</v>
      </c>
      <c r="D54" s="92"/>
      <c r="E54" s="78"/>
    </row>
    <row r="55" spans="1:5" ht="12.75">
      <c r="A55" s="80"/>
      <c r="B55" s="133" t="s">
        <v>264</v>
      </c>
      <c r="C55" s="134">
        <f>SUM(C53:C54)</f>
        <v>3397311.25</v>
      </c>
      <c r="D55" s="92"/>
      <c r="E55" s="78"/>
    </row>
    <row r="56" spans="1:5" ht="12.75">
      <c r="A56" s="80"/>
      <c r="B56" s="132"/>
      <c r="C56" s="92"/>
      <c r="D56" s="92"/>
      <c r="E56" s="78"/>
    </row>
    <row r="57" spans="1:5" ht="12.75">
      <c r="A57" s="80"/>
      <c r="B57" s="131" t="s">
        <v>265</v>
      </c>
      <c r="C57" s="92"/>
      <c r="D57" s="92"/>
      <c r="E57" s="78"/>
    </row>
    <row r="58" spans="1:5" ht="12.75">
      <c r="A58" s="80"/>
      <c r="B58" s="132" t="s">
        <v>216</v>
      </c>
      <c r="C58" s="92">
        <f>'TB-4th Qtr'!C100</f>
        <v>1243320.72</v>
      </c>
      <c r="D58" s="92"/>
      <c r="E58" s="78"/>
    </row>
    <row r="59" spans="1:5" ht="12.75">
      <c r="A59" s="80"/>
      <c r="B59" s="132" t="s">
        <v>56</v>
      </c>
      <c r="C59" s="92">
        <f>'TB-4th Qtr'!C101</f>
        <v>4000</v>
      </c>
      <c r="D59" s="92"/>
      <c r="E59" s="78"/>
    </row>
    <row r="60" spans="1:5" ht="12.75">
      <c r="A60" s="80"/>
      <c r="B60" s="132" t="s">
        <v>217</v>
      </c>
      <c r="C60" s="92">
        <f>'TB-4th Qtr'!C102</f>
        <v>0</v>
      </c>
      <c r="D60" s="92"/>
      <c r="E60" s="78"/>
    </row>
    <row r="61" spans="1:5" ht="12.75">
      <c r="A61" s="80"/>
      <c r="B61" s="132" t="s">
        <v>164</v>
      </c>
      <c r="C61" s="92">
        <f>'TB-4th Qtr'!C103</f>
        <v>106653.04000000001</v>
      </c>
      <c r="D61" s="92"/>
      <c r="E61" s="78"/>
    </row>
    <row r="62" spans="1:5" ht="12.75">
      <c r="A62" s="80"/>
      <c r="B62" s="132" t="s">
        <v>535</v>
      </c>
      <c r="C62" s="92">
        <f>'TB-4th Qtr'!C105</f>
        <v>0</v>
      </c>
      <c r="D62" s="92"/>
      <c r="E62" s="78"/>
    </row>
    <row r="63" spans="1:5" ht="12.75">
      <c r="A63" s="80"/>
      <c r="B63" s="132" t="s">
        <v>642</v>
      </c>
      <c r="C63" s="92">
        <f>'TB-4th Qtr'!C104</f>
        <v>0</v>
      </c>
      <c r="D63" s="92"/>
      <c r="E63" s="78"/>
    </row>
    <row r="64" spans="1:5" ht="12.75">
      <c r="A64" s="80"/>
      <c r="B64" s="132" t="s">
        <v>536</v>
      </c>
      <c r="C64" s="92">
        <f>'TB-4th Qtr'!C106</f>
        <v>0</v>
      </c>
      <c r="D64" s="92"/>
      <c r="E64" s="78"/>
    </row>
    <row r="65" spans="1:5" ht="12.75">
      <c r="A65" s="80"/>
      <c r="B65" s="132" t="s">
        <v>241</v>
      </c>
      <c r="C65" s="92">
        <f>'TB-4th Qtr'!C109</f>
        <v>0</v>
      </c>
      <c r="D65" s="92"/>
      <c r="E65" s="78"/>
    </row>
    <row r="66" spans="1:5" ht="12.75">
      <c r="A66" s="80"/>
      <c r="B66" s="132" t="s">
        <v>638</v>
      </c>
      <c r="C66" s="92">
        <f>'TB-4th Qtr'!C107</f>
        <v>0</v>
      </c>
      <c r="D66" s="92"/>
      <c r="E66" s="78"/>
    </row>
    <row r="67" spans="1:5" ht="12.75">
      <c r="A67" s="80"/>
      <c r="B67" s="132" t="s">
        <v>166</v>
      </c>
      <c r="C67" s="92">
        <f>'TB-4th Qtr'!C110</f>
        <v>2328.25</v>
      </c>
      <c r="D67" s="92"/>
      <c r="E67" s="78"/>
    </row>
    <row r="68" spans="1:5" ht="12.75">
      <c r="A68" s="80"/>
      <c r="B68" s="133" t="s">
        <v>266</v>
      </c>
      <c r="C68" s="134">
        <f>SUM(C58:C67)</f>
        <v>1356302.01</v>
      </c>
      <c r="D68" s="92"/>
      <c r="E68" s="78"/>
    </row>
    <row r="69" spans="1:5" ht="12.75">
      <c r="A69" s="80"/>
      <c r="B69" s="132"/>
      <c r="C69" s="92"/>
      <c r="D69" s="92"/>
      <c r="E69" s="78"/>
    </row>
    <row r="70" spans="1:5" ht="12.75">
      <c r="A70" s="80"/>
      <c r="B70" s="131" t="s">
        <v>267</v>
      </c>
      <c r="C70" s="92"/>
      <c r="D70" s="92"/>
      <c r="E70" s="78"/>
    </row>
    <row r="71" spans="1:7" ht="12.75">
      <c r="A71" s="80"/>
      <c r="B71" s="132" t="s">
        <v>37</v>
      </c>
      <c r="C71" s="92">
        <f>'TB-4th Qtr'!C111</f>
        <v>33971.6</v>
      </c>
      <c r="D71" s="92"/>
      <c r="E71" s="78"/>
      <c r="G71" s="81"/>
    </row>
    <row r="72" spans="1:7" ht="12.75">
      <c r="A72" s="80"/>
      <c r="B72" s="132" t="s">
        <v>43</v>
      </c>
      <c r="C72" s="92">
        <f>'TB-4th Qtr'!C112</f>
        <v>176474.3</v>
      </c>
      <c r="D72" s="92"/>
      <c r="E72" s="78"/>
      <c r="G72" s="81"/>
    </row>
    <row r="73" spans="1:7" ht="12.75">
      <c r="A73" s="80"/>
      <c r="B73" s="132" t="s">
        <v>694</v>
      </c>
      <c r="C73" s="91">
        <f>'TB-4th Qtr'!C113</f>
        <v>0</v>
      </c>
      <c r="D73" s="92"/>
      <c r="E73" s="78"/>
      <c r="G73" s="81"/>
    </row>
    <row r="74" spans="1:7" ht="12.75">
      <c r="A74" s="80"/>
      <c r="B74" s="133" t="s">
        <v>268</v>
      </c>
      <c r="C74" s="134">
        <f>SUM(C71:C73)</f>
        <v>210445.9</v>
      </c>
      <c r="D74" s="92"/>
      <c r="E74" s="78"/>
      <c r="G74" s="81"/>
    </row>
    <row r="75" spans="1:7" ht="12.75">
      <c r="A75" s="80"/>
      <c r="B75" s="132"/>
      <c r="C75" s="92"/>
      <c r="D75" s="92"/>
      <c r="E75" s="78"/>
      <c r="G75" s="81"/>
    </row>
    <row r="76" spans="1:7" ht="12.75">
      <c r="A76" s="80"/>
      <c r="B76" s="131" t="s">
        <v>269</v>
      </c>
      <c r="C76" s="92"/>
      <c r="D76" s="92"/>
      <c r="E76" s="78"/>
      <c r="G76" s="81"/>
    </row>
    <row r="77" spans="1:7" ht="12.75">
      <c r="A77" s="80"/>
      <c r="B77" s="132" t="s">
        <v>29</v>
      </c>
      <c r="C77" s="92">
        <f>'TB-4th Qtr'!C114</f>
        <v>67889</v>
      </c>
      <c r="D77" s="92"/>
      <c r="E77" s="78"/>
      <c r="G77" s="81"/>
    </row>
    <row r="78" spans="1:7" ht="12.75">
      <c r="A78" s="80"/>
      <c r="B78" s="132" t="s">
        <v>195</v>
      </c>
      <c r="C78" s="92"/>
      <c r="D78" s="92"/>
      <c r="E78" s="78"/>
      <c r="G78" s="81"/>
    </row>
    <row r="79" spans="1:5" ht="12.75">
      <c r="A79" s="80"/>
      <c r="B79" s="136" t="s">
        <v>270</v>
      </c>
      <c r="C79" s="92">
        <f>'TB-4th Qtr'!C115</f>
        <v>95864.95000000001</v>
      </c>
      <c r="D79" s="92"/>
      <c r="E79" s="78"/>
    </row>
    <row r="80" spans="1:5" ht="12.75">
      <c r="A80" s="80"/>
      <c r="B80" s="136" t="s">
        <v>271</v>
      </c>
      <c r="C80" s="92">
        <f>'TB-4th Qtr'!C116</f>
        <v>31706.08</v>
      </c>
      <c r="D80" s="92"/>
      <c r="E80" s="78"/>
    </row>
    <row r="81" spans="1:5" ht="12.75" customHeight="1">
      <c r="A81" s="80"/>
      <c r="B81" s="132" t="s">
        <v>171</v>
      </c>
      <c r="C81" s="92">
        <f>'TB-4th Qtr'!C117</f>
        <v>109099.09</v>
      </c>
      <c r="D81" s="92"/>
      <c r="E81" s="78"/>
    </row>
    <row r="82" spans="1:5" ht="12.75">
      <c r="A82" s="80"/>
      <c r="B82" s="132" t="s">
        <v>51</v>
      </c>
      <c r="C82" s="91">
        <f>'TB-4th Qtr'!C118</f>
        <v>300</v>
      </c>
      <c r="D82" s="92"/>
      <c r="E82" s="78"/>
    </row>
    <row r="83" spans="1:5" ht="12.75">
      <c r="A83" s="80"/>
      <c r="B83" s="133" t="s">
        <v>272</v>
      </c>
      <c r="C83" s="134">
        <f>SUM(C77:C82)</f>
        <v>304859.12</v>
      </c>
      <c r="D83" s="92"/>
      <c r="E83" s="78"/>
    </row>
    <row r="84" spans="1:5" ht="12.75">
      <c r="A84" s="80"/>
      <c r="B84" s="132"/>
      <c r="C84" s="92"/>
      <c r="D84" s="92"/>
      <c r="E84" s="78"/>
    </row>
    <row r="85" spans="1:5" ht="12.75">
      <c r="A85" s="80"/>
      <c r="B85" s="131" t="s">
        <v>541</v>
      </c>
      <c r="C85" s="92"/>
      <c r="D85" s="92"/>
      <c r="E85" s="78"/>
    </row>
    <row r="86" spans="1:5" ht="12.75">
      <c r="A86" s="80"/>
      <c r="B86" s="132" t="s">
        <v>539</v>
      </c>
      <c r="C86" s="91">
        <f>'TB-4th Qtr'!C119</f>
        <v>0</v>
      </c>
      <c r="D86" s="92"/>
      <c r="E86" s="78"/>
    </row>
    <row r="87" spans="1:5" ht="12.75">
      <c r="A87" s="80"/>
      <c r="B87" s="133" t="s">
        <v>542</v>
      </c>
      <c r="C87" s="134">
        <f>+C86</f>
        <v>0</v>
      </c>
      <c r="D87" s="92"/>
      <c r="E87" s="78"/>
    </row>
    <row r="88" spans="1:5" ht="12.75">
      <c r="A88" s="80"/>
      <c r="B88" s="133"/>
      <c r="C88" s="92"/>
      <c r="D88" s="92"/>
      <c r="E88" s="78"/>
    </row>
    <row r="89" spans="1:5" ht="12.75">
      <c r="A89" s="80"/>
      <c r="B89" s="131" t="s">
        <v>273</v>
      </c>
      <c r="C89" s="92"/>
      <c r="D89" s="92"/>
      <c r="E89" s="78"/>
    </row>
    <row r="90" spans="1:5" ht="12.75" customHeight="1">
      <c r="A90" s="80"/>
      <c r="B90" s="132" t="s">
        <v>193</v>
      </c>
      <c r="C90" s="91">
        <f>'TB-4th Qtr'!C120</f>
        <v>110000.04</v>
      </c>
      <c r="D90" s="92"/>
      <c r="E90" s="78"/>
    </row>
    <row r="91" spans="1:5" ht="12.75" customHeight="1">
      <c r="A91" s="80"/>
      <c r="B91" s="133" t="s">
        <v>274</v>
      </c>
      <c r="C91" s="134">
        <f>+C90</f>
        <v>110000.04</v>
      </c>
      <c r="D91" s="92"/>
      <c r="E91" s="78"/>
    </row>
    <row r="92" spans="1:5" ht="12.75" customHeight="1">
      <c r="A92" s="80"/>
      <c r="B92" s="132"/>
      <c r="C92" s="92"/>
      <c r="D92" s="92"/>
      <c r="E92" s="78"/>
    </row>
    <row r="93" spans="1:5" ht="12.75" customHeight="1">
      <c r="A93" s="80"/>
      <c r="B93" s="131" t="s">
        <v>275</v>
      </c>
      <c r="C93" s="92"/>
      <c r="D93" s="92"/>
      <c r="E93" s="78"/>
    </row>
    <row r="94" spans="1:5" ht="12.75">
      <c r="A94" s="80"/>
      <c r="B94" s="132" t="s">
        <v>71</v>
      </c>
      <c r="C94" s="92">
        <f>'TB-4th Qtr'!C121</f>
        <v>400</v>
      </c>
      <c r="D94" s="92"/>
      <c r="E94" s="78"/>
    </row>
    <row r="95" spans="1:5" ht="12.75">
      <c r="A95" s="80"/>
      <c r="B95" s="132" t="s">
        <v>30</v>
      </c>
      <c r="C95" s="92">
        <f>'TB-4th Qtr'!C122</f>
        <v>0</v>
      </c>
      <c r="D95" s="92"/>
      <c r="E95" s="78"/>
    </row>
    <row r="96" spans="1:5" ht="12.75">
      <c r="A96" s="80"/>
      <c r="B96" s="132" t="s">
        <v>198</v>
      </c>
      <c r="C96" s="92">
        <f>'TB-4th Qtr'!C123</f>
        <v>0</v>
      </c>
      <c r="D96" s="92"/>
      <c r="E96" s="78"/>
    </row>
    <row r="97" spans="1:5" ht="12.75">
      <c r="A97" s="80"/>
      <c r="B97" s="132" t="s">
        <v>72</v>
      </c>
      <c r="C97" s="92">
        <f>'TB-4th Qtr'!C124</f>
        <v>649697.5399999999</v>
      </c>
      <c r="D97" s="92"/>
      <c r="E97" s="78"/>
    </row>
    <row r="98" spans="1:5" ht="12.75">
      <c r="A98" s="80"/>
      <c r="B98" s="132" t="s">
        <v>65</v>
      </c>
      <c r="C98" s="92">
        <f>'TB-4th Qtr'!C125</f>
        <v>0</v>
      </c>
      <c r="D98" s="92"/>
      <c r="E98" s="78"/>
    </row>
    <row r="99" spans="1:5" ht="12.75">
      <c r="A99" s="80"/>
      <c r="B99" s="132" t="s">
        <v>180</v>
      </c>
      <c r="C99" s="91">
        <f>'TB-4th Qtr'!C126</f>
        <v>0</v>
      </c>
      <c r="D99" s="92"/>
      <c r="E99" s="78"/>
    </row>
    <row r="100" spans="1:5" ht="12.75">
      <c r="A100" s="80"/>
      <c r="B100" s="133" t="s">
        <v>276</v>
      </c>
      <c r="C100" s="134">
        <f>SUM(C94:C99)</f>
        <v>650097.5399999999</v>
      </c>
      <c r="D100" s="92"/>
      <c r="E100" s="78"/>
    </row>
    <row r="101" spans="1:5" ht="12.75">
      <c r="A101" s="80"/>
      <c r="B101" s="132"/>
      <c r="C101" s="92"/>
      <c r="D101" s="92"/>
      <c r="E101" s="78"/>
    </row>
    <row r="102" spans="1:5" ht="12.75">
      <c r="A102" s="80"/>
      <c r="B102" s="131" t="s">
        <v>277</v>
      </c>
      <c r="C102" s="92"/>
      <c r="D102" s="92"/>
      <c r="E102" s="78"/>
    </row>
    <row r="103" spans="1:5" ht="12.75">
      <c r="A103" s="80"/>
      <c r="B103" s="132" t="s">
        <v>184</v>
      </c>
      <c r="C103" s="92">
        <f>'TB-4th Qtr'!C127</f>
        <v>97413.83</v>
      </c>
      <c r="D103" s="92">
        <v>309750</v>
      </c>
      <c r="E103" s="78"/>
    </row>
    <row r="104" spans="1:5" ht="12.75" customHeight="1">
      <c r="A104" s="80"/>
      <c r="B104" s="132" t="s">
        <v>186</v>
      </c>
      <c r="C104" s="92">
        <f>'TB-4th Qtr'!C128</f>
        <v>0</v>
      </c>
      <c r="D104" s="92">
        <v>566200</v>
      </c>
      <c r="E104" s="78"/>
    </row>
    <row r="105" spans="1:7" ht="12.75">
      <c r="A105" s="80"/>
      <c r="B105" s="132" t="s">
        <v>219</v>
      </c>
      <c r="C105" s="92">
        <f>'TB-4th Qtr'!C129</f>
        <v>79441.25</v>
      </c>
      <c r="D105" s="92">
        <v>566200</v>
      </c>
      <c r="E105" s="78"/>
      <c r="G105" s="81"/>
    </row>
    <row r="106" spans="1:7" ht="12.75">
      <c r="A106" s="80"/>
      <c r="B106" s="132" t="s">
        <v>220</v>
      </c>
      <c r="C106" s="92">
        <f>'TB-4th Qtr'!C130</f>
        <v>162390</v>
      </c>
      <c r="D106" s="92"/>
      <c r="E106" s="78"/>
      <c r="G106" s="81"/>
    </row>
    <row r="107" spans="1:7" ht="12.75">
      <c r="A107" s="80"/>
      <c r="B107" s="132" t="s">
        <v>584</v>
      </c>
      <c r="C107" s="92">
        <f>'TB-4th Qtr'!C131</f>
        <v>0</v>
      </c>
      <c r="D107" s="92"/>
      <c r="E107" s="78"/>
      <c r="G107" s="81"/>
    </row>
    <row r="108" spans="1:7" ht="12.75">
      <c r="A108" s="80"/>
      <c r="B108" s="132" t="s">
        <v>229</v>
      </c>
      <c r="C108" s="92">
        <f>'TB-4th Qtr'!C133</f>
        <v>72909</v>
      </c>
      <c r="D108" s="92"/>
      <c r="E108" s="78"/>
      <c r="G108" s="81"/>
    </row>
    <row r="109" spans="1:7" ht="12.75">
      <c r="A109" s="80"/>
      <c r="B109" s="132" t="s">
        <v>809</v>
      </c>
      <c r="C109" s="92">
        <f>'TB-4th Qtr'!C134</f>
        <v>995000</v>
      </c>
      <c r="D109" s="92"/>
      <c r="E109" s="78"/>
      <c r="G109" s="81"/>
    </row>
    <row r="110" spans="1:7" ht="12.75">
      <c r="A110" s="80"/>
      <c r="B110" s="132" t="s">
        <v>639</v>
      </c>
      <c r="C110" s="91">
        <f>'TB-4th Qtr'!C135</f>
        <v>3077702</v>
      </c>
      <c r="D110" s="92"/>
      <c r="E110" s="78"/>
      <c r="G110" s="81"/>
    </row>
    <row r="111" spans="1:7" ht="12.75">
      <c r="A111" s="80"/>
      <c r="B111" s="133" t="s">
        <v>278</v>
      </c>
      <c r="C111" s="134">
        <f>SUM(C103:C110)</f>
        <v>4484856.08</v>
      </c>
      <c r="D111" s="92"/>
      <c r="E111" s="78"/>
      <c r="G111" s="81"/>
    </row>
    <row r="112" spans="1:7" ht="12.75">
      <c r="A112" s="80"/>
      <c r="B112" s="132"/>
      <c r="C112" s="92"/>
      <c r="D112" s="92"/>
      <c r="E112" s="78"/>
      <c r="G112" s="81"/>
    </row>
    <row r="113" spans="1:7" ht="12.75">
      <c r="A113" s="80"/>
      <c r="B113" s="131" t="s">
        <v>279</v>
      </c>
      <c r="C113" s="92"/>
      <c r="D113" s="92"/>
      <c r="E113" s="78"/>
      <c r="G113" s="81"/>
    </row>
    <row r="114" spans="1:7" ht="12.75">
      <c r="A114" s="80"/>
      <c r="B114" s="132" t="s">
        <v>643</v>
      </c>
      <c r="C114" s="92"/>
      <c r="D114" s="92"/>
      <c r="E114" s="78"/>
      <c r="G114" s="81"/>
    </row>
    <row r="115" spans="1:7" ht="12.75">
      <c r="A115" s="80"/>
      <c r="B115" s="132" t="s">
        <v>233</v>
      </c>
      <c r="C115" s="91">
        <f>'TB-4th Qtr'!C136</f>
        <v>190941036.81</v>
      </c>
      <c r="D115" s="92"/>
      <c r="E115" s="78"/>
      <c r="G115" s="81"/>
    </row>
    <row r="116" spans="1:7" ht="12.75">
      <c r="A116" s="80"/>
      <c r="B116" s="133" t="s">
        <v>280</v>
      </c>
      <c r="C116" s="134">
        <f>SUM(C114:C115)</f>
        <v>190941036.81</v>
      </c>
      <c r="D116" s="92"/>
      <c r="E116" s="78"/>
      <c r="G116" s="81"/>
    </row>
    <row r="117" spans="1:7" ht="12.75">
      <c r="A117" s="80"/>
      <c r="B117" s="132"/>
      <c r="C117" s="92"/>
      <c r="D117" s="92"/>
      <c r="E117" s="78"/>
      <c r="G117" s="81"/>
    </row>
    <row r="118" spans="1:7" ht="12.75">
      <c r="A118" s="80"/>
      <c r="B118" s="131" t="s">
        <v>281</v>
      </c>
      <c r="C118" s="92"/>
      <c r="D118" s="92"/>
      <c r="E118" s="78"/>
      <c r="G118" s="81"/>
    </row>
    <row r="119" spans="1:7" ht="12.75">
      <c r="A119" s="80"/>
      <c r="B119" s="132" t="s">
        <v>69</v>
      </c>
      <c r="C119" s="92">
        <f>'TB-4th Qtr'!C137</f>
        <v>45000</v>
      </c>
      <c r="D119" s="92"/>
      <c r="E119" s="78"/>
      <c r="G119" s="81"/>
    </row>
    <row r="120" spans="1:7" ht="12.75">
      <c r="A120" s="80"/>
      <c r="B120" s="132" t="s">
        <v>810</v>
      </c>
      <c r="C120" s="92">
        <f>'TB-4th Qtr'!C138</f>
        <v>23115</v>
      </c>
      <c r="D120" s="92"/>
      <c r="E120" s="78"/>
      <c r="G120" s="81"/>
    </row>
    <row r="121" spans="1:7" ht="12.75">
      <c r="A121" s="80"/>
      <c r="B121" s="132" t="s">
        <v>73</v>
      </c>
      <c r="C121" s="91">
        <f>'TB-4th Qtr'!C140</f>
        <v>773017.66</v>
      </c>
      <c r="D121" s="92"/>
      <c r="E121" s="78"/>
      <c r="G121" s="81"/>
    </row>
    <row r="122" spans="1:7" ht="12.75">
      <c r="A122" s="80"/>
      <c r="B122" s="131" t="s">
        <v>282</v>
      </c>
      <c r="C122" s="134">
        <f>SUM(C119:C121)</f>
        <v>841132.66</v>
      </c>
      <c r="D122" s="92"/>
      <c r="E122" s="78"/>
      <c r="G122" s="81"/>
    </row>
    <row r="123" spans="1:7" ht="12.75">
      <c r="A123" s="80"/>
      <c r="B123" s="132"/>
      <c r="C123" s="92"/>
      <c r="D123" s="92"/>
      <c r="E123" s="78"/>
      <c r="G123" s="81"/>
    </row>
    <row r="124" spans="1:7" ht="12.75">
      <c r="A124" s="80"/>
      <c r="B124" s="131" t="s">
        <v>23</v>
      </c>
      <c r="C124" s="92"/>
      <c r="D124" s="92"/>
      <c r="E124" s="78"/>
      <c r="G124" s="81"/>
    </row>
    <row r="125" spans="1:7" ht="12.75">
      <c r="A125" s="80"/>
      <c r="B125" s="132" t="s">
        <v>38</v>
      </c>
      <c r="C125" s="92">
        <f>'TB-4th Qtr'!C141</f>
        <v>0</v>
      </c>
      <c r="D125" s="92"/>
      <c r="E125" s="78"/>
      <c r="G125" s="81"/>
    </row>
    <row r="126" spans="1:7" ht="12.75">
      <c r="A126" s="80"/>
      <c r="B126" s="132" t="s">
        <v>62</v>
      </c>
      <c r="C126" s="92">
        <f>'TB-4th Qtr'!C142</f>
        <v>0</v>
      </c>
      <c r="D126" s="92"/>
      <c r="E126" s="78"/>
      <c r="G126" s="81"/>
    </row>
    <row r="127" spans="1:7" ht="12.75">
      <c r="A127" s="80"/>
      <c r="B127" s="132" t="s">
        <v>63</v>
      </c>
      <c r="C127" s="92">
        <f>'TB-4th Qtr'!C143</f>
        <v>8181.08</v>
      </c>
      <c r="D127" s="92"/>
      <c r="E127" s="78"/>
      <c r="G127" s="81"/>
    </row>
    <row r="128" spans="1:5" ht="12.75">
      <c r="A128" s="80"/>
      <c r="B128" s="132" t="s">
        <v>812</v>
      </c>
      <c r="C128" s="92">
        <f>'TB-4th Qtr'!C144</f>
        <v>1105</v>
      </c>
      <c r="D128" s="92"/>
      <c r="E128" s="78"/>
    </row>
    <row r="129" spans="1:5" ht="12.75">
      <c r="A129" s="80"/>
      <c r="B129" s="132" t="s">
        <v>811</v>
      </c>
      <c r="C129" s="92">
        <f>'TB-4th Qtr'!C145</f>
        <v>922352.9099999999</v>
      </c>
      <c r="D129" s="92"/>
      <c r="E129" s="78"/>
    </row>
    <row r="130" spans="1:5" ht="12.75">
      <c r="A130" s="80"/>
      <c r="B130" s="132" t="s">
        <v>738</v>
      </c>
      <c r="C130" s="92"/>
      <c r="D130" s="92"/>
      <c r="E130" s="78"/>
    </row>
    <row r="131" spans="1:5" ht="12.75">
      <c r="A131" s="80"/>
      <c r="B131" s="132" t="s">
        <v>23</v>
      </c>
      <c r="C131" s="91">
        <f>'TB-4th Qtr'!C149</f>
        <v>1783067.8000000003</v>
      </c>
      <c r="D131" s="92"/>
      <c r="E131" s="78"/>
    </row>
    <row r="132" spans="1:5" ht="12.75">
      <c r="A132" s="80"/>
      <c r="B132" s="131" t="s">
        <v>283</v>
      </c>
      <c r="C132" s="134">
        <f>SUM(C125:C131)</f>
        <v>2714706.79</v>
      </c>
      <c r="D132" s="92"/>
      <c r="E132" s="78"/>
    </row>
    <row r="133" spans="1:5" ht="12.75">
      <c r="A133" s="80"/>
      <c r="B133" s="131"/>
      <c r="C133" s="134"/>
      <c r="D133" s="92"/>
      <c r="E133" s="78"/>
    </row>
    <row r="134" spans="1:5" ht="12.75">
      <c r="A134" s="80"/>
      <c r="B134" s="80" t="s">
        <v>544</v>
      </c>
      <c r="C134" s="137">
        <f>C50+C55+C68+C74+C83+C87+C91+C100+C111+C116+C122+C132</f>
        <v>205625048.88</v>
      </c>
      <c r="D134" s="92"/>
      <c r="E134" s="78"/>
    </row>
    <row r="135" spans="1:5" ht="12.75">
      <c r="A135" s="80"/>
      <c r="B135" s="132"/>
      <c r="C135" s="92"/>
      <c r="D135" s="92"/>
      <c r="E135" s="78"/>
    </row>
    <row r="136" spans="1:5" ht="12.75">
      <c r="A136" s="80"/>
      <c r="B136" s="131" t="s">
        <v>284</v>
      </c>
      <c r="C136" s="92"/>
      <c r="D136" s="92"/>
      <c r="E136" s="78"/>
    </row>
    <row r="137" spans="1:7" ht="12.75">
      <c r="A137" s="80"/>
      <c r="B137" s="132" t="s">
        <v>245</v>
      </c>
      <c r="C137" s="91"/>
      <c r="D137" s="92">
        <v>124944.7</v>
      </c>
      <c r="E137" s="78"/>
      <c r="G137" s="81">
        <f>SUM(C33:C137)</f>
        <v>647079285.8500001</v>
      </c>
    </row>
    <row r="138" spans="1:7" ht="12.75">
      <c r="A138" s="80"/>
      <c r="B138" s="133" t="s">
        <v>286</v>
      </c>
      <c r="C138" s="134">
        <f>+C137</f>
        <v>0</v>
      </c>
      <c r="D138" s="92"/>
      <c r="E138" s="78"/>
      <c r="G138" s="81"/>
    </row>
    <row r="139" spans="1:7" ht="12.75">
      <c r="A139" s="80"/>
      <c r="B139" s="132"/>
      <c r="C139" s="92"/>
      <c r="D139" s="92"/>
      <c r="E139" s="78"/>
      <c r="G139" s="81"/>
    </row>
    <row r="140" spans="1:7" ht="12.75">
      <c r="A140" s="80"/>
      <c r="B140" s="131" t="s">
        <v>285</v>
      </c>
      <c r="C140" s="92"/>
      <c r="D140" s="92"/>
      <c r="E140" s="78"/>
      <c r="G140" s="81"/>
    </row>
    <row r="141" spans="1:7" ht="12.75">
      <c r="A141" s="80"/>
      <c r="B141" s="135" t="s">
        <v>801</v>
      </c>
      <c r="C141" s="92">
        <f>'TB-4th Qtr'!C154</f>
        <v>780776.76</v>
      </c>
      <c r="D141" s="92"/>
      <c r="E141" s="78"/>
      <c r="G141" s="81"/>
    </row>
    <row r="142" spans="1:7" ht="12.75">
      <c r="A142" s="80"/>
      <c r="B142" s="135" t="s">
        <v>813</v>
      </c>
      <c r="C142" s="92">
        <f>'TB-4th Qtr'!C148</f>
        <v>7260</v>
      </c>
      <c r="D142" s="92"/>
      <c r="E142" s="78"/>
      <c r="G142" s="81"/>
    </row>
    <row r="143" spans="1:7" ht="12.75">
      <c r="A143" s="80"/>
      <c r="B143" s="135" t="s">
        <v>814</v>
      </c>
      <c r="C143" s="92">
        <f>'TB-4th Qtr'!C155</f>
        <v>21674.35</v>
      </c>
      <c r="D143" s="92"/>
      <c r="E143" s="78"/>
      <c r="G143" s="81"/>
    </row>
    <row r="144" spans="1:7" ht="12.75">
      <c r="A144" s="80"/>
      <c r="B144" s="135" t="s">
        <v>214</v>
      </c>
      <c r="C144" s="92">
        <f>'TB-4th Qtr'!C151</f>
        <v>229529.5</v>
      </c>
      <c r="D144" s="92"/>
      <c r="E144" s="78"/>
      <c r="G144" s="81"/>
    </row>
    <row r="145" spans="1:7" ht="12.75">
      <c r="A145" s="80"/>
      <c r="B145" s="135" t="s">
        <v>77</v>
      </c>
      <c r="C145" s="92">
        <f>'TB-4th Qtr'!C152</f>
        <v>58222.23</v>
      </c>
      <c r="D145" s="92"/>
      <c r="E145" s="78"/>
      <c r="G145" s="81"/>
    </row>
    <row r="146" spans="1:7" ht="12.75">
      <c r="A146" s="80"/>
      <c r="B146" s="135" t="s">
        <v>78</v>
      </c>
      <c r="C146" s="92">
        <f>'TB-4th Qtr'!C153</f>
        <v>160832.09</v>
      </c>
      <c r="D146" s="92"/>
      <c r="E146" s="78"/>
      <c r="G146" s="81"/>
    </row>
    <row r="147" spans="1:7" ht="12.75">
      <c r="A147" s="80"/>
      <c r="B147" s="135" t="s">
        <v>641</v>
      </c>
      <c r="C147" s="92">
        <f>'TB-4th Qtr'!C156</f>
        <v>5117.84</v>
      </c>
      <c r="D147" s="92"/>
      <c r="E147" s="78"/>
      <c r="G147" s="81"/>
    </row>
    <row r="148" spans="1:7" ht="12.75">
      <c r="A148" s="80"/>
      <c r="B148" s="135" t="s">
        <v>81</v>
      </c>
      <c r="C148" s="92">
        <f>'TB-4th Qtr'!C150</f>
        <v>125574.17</v>
      </c>
      <c r="D148" s="92"/>
      <c r="E148" s="78"/>
      <c r="G148" s="81"/>
    </row>
    <row r="149" spans="1:7" ht="12.75">
      <c r="A149" s="80"/>
      <c r="B149" s="135" t="s">
        <v>82</v>
      </c>
      <c r="C149" s="91">
        <f>'TB-4th Qtr'!C157</f>
        <v>47947.91</v>
      </c>
      <c r="D149" s="92"/>
      <c r="E149" s="78"/>
      <c r="G149" s="81"/>
    </row>
    <row r="150" spans="1:7" ht="12.75">
      <c r="A150" s="80"/>
      <c r="B150" s="133" t="s">
        <v>287</v>
      </c>
      <c r="C150" s="134">
        <f>SUM(C141:C149)</f>
        <v>1436934.85</v>
      </c>
      <c r="D150" s="92"/>
      <c r="E150" s="78"/>
      <c r="G150" s="81"/>
    </row>
    <row r="151" spans="1:7" ht="12.75">
      <c r="A151" s="80"/>
      <c r="B151" s="133"/>
      <c r="C151" s="134"/>
      <c r="D151" s="92"/>
      <c r="E151" s="78"/>
      <c r="G151" s="81"/>
    </row>
    <row r="152" spans="1:8" ht="12.75">
      <c r="A152" s="3"/>
      <c r="B152" s="3"/>
      <c r="C152" s="82"/>
      <c r="D152" s="83"/>
      <c r="E152" s="79"/>
      <c r="F152" s="3"/>
      <c r="G152" s="84"/>
      <c r="H152" s="83"/>
    </row>
    <row r="153" spans="1:8" ht="12.75">
      <c r="A153" s="3"/>
      <c r="B153" s="3" t="s">
        <v>289</v>
      </c>
      <c r="C153" s="82">
        <f>C44+C134+C138+C150</f>
        <v>229427494.67999998</v>
      </c>
      <c r="D153" s="83"/>
      <c r="E153" s="79"/>
      <c r="F153" s="3"/>
      <c r="G153" s="84"/>
      <c r="H153" s="83"/>
    </row>
    <row r="154" spans="1:8" ht="12.75">
      <c r="A154" s="3"/>
      <c r="B154" s="3"/>
      <c r="C154" s="82"/>
      <c r="D154" s="83"/>
      <c r="E154" s="79"/>
      <c r="F154" s="3"/>
      <c r="G154" s="84"/>
      <c r="H154" s="83"/>
    </row>
    <row r="155" spans="1:8" ht="12.75">
      <c r="A155" s="3"/>
      <c r="B155" s="80" t="s">
        <v>290</v>
      </c>
      <c r="C155" s="82">
        <f>-C153</f>
        <v>-229427494.67999998</v>
      </c>
      <c r="D155" s="83"/>
      <c r="E155" s="79"/>
      <c r="F155" s="3"/>
      <c r="G155" s="84"/>
      <c r="H155" s="83"/>
    </row>
    <row r="156" spans="1:8" ht="12.75">
      <c r="A156" s="3"/>
      <c r="B156" s="80"/>
      <c r="C156" s="82"/>
      <c r="D156" s="83"/>
      <c r="E156" s="79"/>
      <c r="F156" s="3"/>
      <c r="G156" s="84"/>
      <c r="H156" s="83"/>
    </row>
    <row r="157" spans="1:8" ht="12.75" customHeight="1">
      <c r="A157" s="553" t="s">
        <v>291</v>
      </c>
      <c r="B157" s="553"/>
      <c r="C157" s="138"/>
      <c r="D157" s="138"/>
      <c r="E157" s="138"/>
      <c r="F157" s="138"/>
      <c r="G157" s="77"/>
      <c r="H157" s="83"/>
    </row>
    <row r="158" spans="1:8" ht="12.75" customHeight="1">
      <c r="A158" s="139"/>
      <c r="B158" s="143" t="s">
        <v>142</v>
      </c>
      <c r="C158" s="142">
        <f>'TB-4th Qtr'!D70</f>
        <v>122573301.69999999</v>
      </c>
      <c r="D158" s="138"/>
      <c r="E158" s="138"/>
      <c r="F158" s="138"/>
      <c r="G158" s="77"/>
      <c r="H158" s="83"/>
    </row>
    <row r="159" spans="1:8" ht="12.75" customHeight="1">
      <c r="A159" s="139"/>
      <c r="B159" s="143" t="s">
        <v>673</v>
      </c>
      <c r="C159" s="528">
        <f>'TB-4th Qtr'!D71</f>
        <v>114924393.25999999</v>
      </c>
      <c r="D159" s="138"/>
      <c r="E159" s="138"/>
      <c r="F159" s="138"/>
      <c r="G159" s="77"/>
      <c r="H159" s="83"/>
    </row>
    <row r="160" spans="1:8" ht="12.75">
      <c r="A160" s="3"/>
      <c r="B160" s="80" t="s">
        <v>292</v>
      </c>
      <c r="C160" s="145">
        <f>+C158+C159</f>
        <v>237497694.95999998</v>
      </c>
      <c r="D160" s="83"/>
      <c r="E160" s="79"/>
      <c r="F160" s="3"/>
      <c r="G160" s="84"/>
      <c r="H160" s="83"/>
    </row>
    <row r="161" spans="1:8" ht="16.5" customHeight="1" thickBot="1">
      <c r="A161" s="80" t="s">
        <v>293</v>
      </c>
      <c r="B161" s="3"/>
      <c r="C161" s="144">
        <f>+C155+C160</f>
        <v>8070200.280000001</v>
      </c>
      <c r="D161" s="83"/>
      <c r="E161" s="95"/>
      <c r="F161" s="3"/>
      <c r="G161" s="85"/>
      <c r="H161" s="83"/>
    </row>
    <row r="162" spans="1:8" ht="15.75" customHeight="1" thickTop="1">
      <c r="A162" s="2"/>
      <c r="B162" s="2"/>
      <c r="C162" s="83"/>
      <c r="D162" s="83"/>
      <c r="E162" s="86"/>
      <c r="F162" s="3"/>
      <c r="G162" s="85"/>
      <c r="H162" s="83"/>
    </row>
    <row r="163" spans="1:8" ht="10.5" customHeight="1">
      <c r="A163" s="2"/>
      <c r="B163" s="2"/>
      <c r="C163" s="83"/>
      <c r="D163" s="83"/>
      <c r="E163" s="86"/>
      <c r="F163" s="3"/>
      <c r="G163" s="85"/>
      <c r="H163" s="83"/>
    </row>
    <row r="164" spans="1:5" ht="12.75">
      <c r="A164" s="16" t="s">
        <v>25</v>
      </c>
      <c r="C164" s="1" t="s">
        <v>55</v>
      </c>
      <c r="D164" s="78"/>
      <c r="E164" s="78"/>
    </row>
    <row r="165" spans="1:5" ht="12.75">
      <c r="A165" s="16"/>
      <c r="C165" s="99"/>
      <c r="D165" s="87"/>
      <c r="E165" s="87"/>
    </row>
    <row r="166" spans="1:5" ht="12.75">
      <c r="A166" s="16"/>
      <c r="C166" s="100"/>
      <c r="D166" s="16"/>
      <c r="E166" s="16"/>
    </row>
    <row r="167" spans="1:5" ht="12.75">
      <c r="A167" s="17" t="s">
        <v>658</v>
      </c>
      <c r="C167" s="20" t="s">
        <v>815</v>
      </c>
      <c r="E167" s="88"/>
    </row>
    <row r="168" spans="1:5" ht="12.75">
      <c r="A168" s="16" t="s">
        <v>662</v>
      </c>
      <c r="C168" s="1" t="s">
        <v>224</v>
      </c>
      <c r="E168" s="88"/>
    </row>
    <row r="169" ht="12.75">
      <c r="A169" s="30"/>
    </row>
  </sheetData>
  <sheetProtection/>
  <mergeCells count="5">
    <mergeCell ref="A1:E1"/>
    <mergeCell ref="A2:E2"/>
    <mergeCell ref="A3:E3"/>
    <mergeCell ref="A4:E4"/>
    <mergeCell ref="A157:B157"/>
  </mergeCells>
  <printOptions/>
  <pageMargins left="1.2" right="0.7" top="0.75" bottom="0.75" header="0.3" footer="0.3"/>
  <pageSetup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E28"/>
    </sheetView>
  </sheetViews>
  <sheetFormatPr defaultColWidth="9.140625" defaultRowHeight="12.75"/>
  <cols>
    <col min="1" max="1" width="4.00390625" style="1" customWidth="1"/>
    <col min="2" max="2" width="40.140625" style="1" customWidth="1"/>
    <col min="3" max="3" width="16.28125" style="1" customWidth="1"/>
    <col min="4" max="4" width="1.7109375" style="1" customWidth="1"/>
    <col min="5" max="5" width="16.57421875" style="1" customWidth="1"/>
    <col min="6" max="16384" width="9.140625" style="1" customWidth="1"/>
  </cols>
  <sheetData>
    <row r="1" spans="1:5" ht="12.75">
      <c r="A1" s="551" t="s">
        <v>1</v>
      </c>
      <c r="B1" s="551"/>
      <c r="C1" s="551"/>
      <c r="D1" s="551"/>
      <c r="E1" s="551"/>
    </row>
    <row r="2" spans="1:5" ht="12.75">
      <c r="A2" s="551" t="s">
        <v>91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tr">
        <f>'DetSFPerf-4th Qtr'!A4:E4</f>
        <v>For the Month Ended December 31, 2020</v>
      </c>
      <c r="B4" s="552"/>
      <c r="C4" s="552"/>
      <c r="D4" s="552"/>
      <c r="E4" s="552"/>
    </row>
    <row r="7" ht="12.75">
      <c r="E7" s="94"/>
    </row>
    <row r="8" spans="1:5" ht="12.75">
      <c r="A8" s="2" t="s">
        <v>247</v>
      </c>
      <c r="C8" s="91">
        <v>0</v>
      </c>
      <c r="E8" s="78"/>
    </row>
    <row r="9" spans="3:5" ht="12.75">
      <c r="C9" s="78"/>
      <c r="D9" s="78"/>
      <c r="E9" s="94"/>
    </row>
    <row r="10" spans="3:5" ht="12.75">
      <c r="C10" s="78"/>
      <c r="D10" s="78"/>
      <c r="E10" s="78"/>
    </row>
    <row r="11" spans="1:5" ht="12.75">
      <c r="A11" s="2" t="s">
        <v>294</v>
      </c>
      <c r="C11" s="78"/>
      <c r="D11" s="78"/>
      <c r="E11" s="78"/>
    </row>
    <row r="12" spans="2:5" ht="12.75">
      <c r="B12" s="3" t="s">
        <v>92</v>
      </c>
      <c r="C12" s="92">
        <f>'DetSFPerf-4th Qtr'!C44</f>
        <v>22365510.949999996</v>
      </c>
      <c r="D12" s="79"/>
      <c r="E12" s="78"/>
    </row>
    <row r="13" spans="2:5" ht="12.75">
      <c r="B13" s="3" t="s">
        <v>93</v>
      </c>
      <c r="C13" s="92">
        <f>'DetSFPerf-4th Qtr'!C134</f>
        <v>205625048.88</v>
      </c>
      <c r="D13" s="79"/>
      <c r="E13" s="79"/>
    </row>
    <row r="14" spans="2:5" ht="12.75">
      <c r="B14" s="3" t="s">
        <v>284</v>
      </c>
      <c r="C14" s="92">
        <f>'DetSFPerf-4th Qtr'!C138</f>
        <v>0</v>
      </c>
      <c r="D14" s="79"/>
      <c r="E14" s="79"/>
    </row>
    <row r="15" spans="2:5" ht="12.75">
      <c r="B15" s="3" t="s">
        <v>285</v>
      </c>
      <c r="C15" s="91">
        <f>'DetSFPerf-4th Qtr'!C150</f>
        <v>1436934.85</v>
      </c>
      <c r="D15" s="79"/>
      <c r="E15" s="79"/>
    </row>
    <row r="16" spans="1:5" ht="21" customHeight="1">
      <c r="A16" s="2" t="s">
        <v>288</v>
      </c>
      <c r="B16" s="2"/>
      <c r="C16" s="148">
        <f>SUM(C12:C15)</f>
        <v>229427494.67999998</v>
      </c>
      <c r="D16" s="2"/>
      <c r="E16" s="95"/>
    </row>
    <row r="17" ht="12.75">
      <c r="E17" s="79"/>
    </row>
    <row r="18" spans="1:5" ht="12.75">
      <c r="A18" s="2" t="s">
        <v>290</v>
      </c>
      <c r="C18" s="149">
        <f>+C8-C16</f>
        <v>-229427494.67999998</v>
      </c>
      <c r="E18" s="78"/>
    </row>
    <row r="19" ht="12.75">
      <c r="E19" s="78"/>
    </row>
    <row r="20" spans="1:5" ht="12.75">
      <c r="A20" s="2" t="s">
        <v>292</v>
      </c>
      <c r="C20" s="91">
        <f>'DetSFPerf-4th Qtr'!C160</f>
        <v>237497694.95999998</v>
      </c>
      <c r="E20" s="78"/>
    </row>
    <row r="21" spans="1:5" ht="13.5" thickBot="1">
      <c r="A21" s="2" t="s">
        <v>293</v>
      </c>
      <c r="C21" s="349">
        <f>+C18+C20</f>
        <v>8070200.280000001</v>
      </c>
      <c r="E21" s="78"/>
    </row>
    <row r="22" spans="1:5" ht="13.5" thickTop="1">
      <c r="A22" s="2"/>
      <c r="C22" s="32"/>
      <c r="E22" s="78"/>
    </row>
    <row r="23" ht="12.75">
      <c r="E23" s="78"/>
    </row>
    <row r="24" spans="1:8" s="77" customFormat="1" ht="12.75">
      <c r="A24" s="16" t="s">
        <v>25</v>
      </c>
      <c r="C24" s="1" t="s">
        <v>55</v>
      </c>
      <c r="D24" s="78"/>
      <c r="E24" s="78"/>
      <c r="F24" s="76"/>
      <c r="G24" s="76"/>
      <c r="H24" s="76"/>
    </row>
    <row r="25" spans="1:8" s="77" customFormat="1" ht="12.75">
      <c r="A25" s="16"/>
      <c r="C25" s="99"/>
      <c r="D25" s="87"/>
      <c r="E25" s="87"/>
      <c r="F25" s="76"/>
      <c r="G25" s="76"/>
      <c r="H25" s="76"/>
    </row>
    <row r="26" spans="1:8" s="77" customFormat="1" ht="12.75">
      <c r="A26" s="16"/>
      <c r="C26" s="100"/>
      <c r="D26" s="16"/>
      <c r="E26" s="16"/>
      <c r="F26" s="76"/>
      <c r="G26" s="76"/>
      <c r="H26" s="76"/>
    </row>
    <row r="27" spans="1:8" s="77" customFormat="1" ht="12.75">
      <c r="A27" s="17" t="s">
        <v>658</v>
      </c>
      <c r="C27" s="20" t="s">
        <v>815</v>
      </c>
      <c r="E27" s="88"/>
      <c r="F27" s="76"/>
      <c r="G27" s="76"/>
      <c r="H27" s="76"/>
    </row>
    <row r="28" spans="1:8" s="77" customFormat="1" ht="12.75">
      <c r="A28" s="16" t="s">
        <v>662</v>
      </c>
      <c r="C28" s="1" t="s">
        <v>224</v>
      </c>
      <c r="E28" s="88"/>
      <c r="F28" s="76"/>
      <c r="G28" s="76"/>
      <c r="H28" s="76"/>
    </row>
    <row r="29" ht="12.75">
      <c r="E29" s="78"/>
    </row>
    <row r="30" ht="12.75">
      <c r="E30" s="78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38">
      <selection activeCell="F138" sqref="F138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3.421875" style="1" customWidth="1"/>
    <col min="4" max="4" width="54.421875" style="1" customWidth="1"/>
    <col min="5" max="5" width="10.00390625" style="1" customWidth="1"/>
    <col min="6" max="6" width="18.00390625" style="1" customWidth="1"/>
    <col min="7" max="7" width="1.7109375" style="1" customWidth="1"/>
    <col min="8" max="8" width="18.28125" style="1" customWidth="1"/>
    <col min="9" max="9" width="9.140625" style="89" customWidth="1"/>
    <col min="10" max="10" width="25.00390625" style="89" customWidth="1"/>
    <col min="11" max="11" width="9.140625" style="89" customWidth="1"/>
    <col min="12" max="16384" width="9.140625" style="1" customWidth="1"/>
  </cols>
  <sheetData>
    <row r="1" spans="1:8" ht="15">
      <c r="A1" s="555" t="s">
        <v>1</v>
      </c>
      <c r="B1" s="555"/>
      <c r="C1" s="555"/>
      <c r="D1" s="555"/>
      <c r="E1" s="555"/>
      <c r="F1" s="555"/>
      <c r="G1" s="96"/>
      <c r="H1" s="96"/>
    </row>
    <row r="2" spans="1:8" ht="12.75">
      <c r="A2" s="551" t="s">
        <v>295</v>
      </c>
      <c r="B2" s="551"/>
      <c r="C2" s="551"/>
      <c r="D2" s="551"/>
      <c r="E2" s="551"/>
      <c r="F2" s="551"/>
      <c r="G2" s="87"/>
      <c r="H2" s="87"/>
    </row>
    <row r="3" spans="1:8" ht="12.75">
      <c r="A3" s="552" t="s">
        <v>215</v>
      </c>
      <c r="B3" s="552"/>
      <c r="C3" s="552"/>
      <c r="D3" s="552"/>
      <c r="E3" s="552"/>
      <c r="F3" s="552"/>
      <c r="G3" s="16"/>
      <c r="H3" s="16"/>
    </row>
    <row r="4" spans="1:8" ht="12.75">
      <c r="A4" s="552" t="s">
        <v>777</v>
      </c>
      <c r="B4" s="552"/>
      <c r="C4" s="552"/>
      <c r="D4" s="552"/>
      <c r="E4" s="552"/>
      <c r="F4" s="552"/>
      <c r="G4" s="16"/>
      <c r="H4" s="16"/>
    </row>
    <row r="6" spans="1:8" ht="15">
      <c r="A6" s="96" t="s">
        <v>9</v>
      </c>
      <c r="B6" s="96"/>
      <c r="C6" s="96"/>
      <c r="D6" s="96"/>
      <c r="E6" s="96"/>
      <c r="F6" s="96"/>
      <c r="G6" s="96"/>
      <c r="H6" s="96"/>
    </row>
    <row r="7" spans="6:8" ht="12.75">
      <c r="F7" s="78"/>
      <c r="G7" s="78"/>
      <c r="H7" s="78"/>
    </row>
    <row r="8" spans="1:8" ht="15">
      <c r="A8" s="90" t="s">
        <v>83</v>
      </c>
      <c r="F8" s="78"/>
      <c r="G8" s="78"/>
      <c r="H8" s="78"/>
    </row>
    <row r="9" spans="1:8" ht="12.75">
      <c r="A9" s="413"/>
      <c r="B9" s="437" t="s">
        <v>296</v>
      </c>
      <c r="C9" s="410"/>
      <c r="D9" s="431"/>
      <c r="E9" s="411"/>
      <c r="F9" s="406">
        <f>+F10+F13+F16</f>
        <v>4266701.649999969</v>
      </c>
      <c r="G9" s="78"/>
      <c r="H9" s="78"/>
    </row>
    <row r="10" spans="1:8" ht="12.75">
      <c r="A10" s="420"/>
      <c r="B10" s="438"/>
      <c r="C10" s="439" t="s">
        <v>297</v>
      </c>
      <c r="D10" s="409"/>
      <c r="E10" s="409"/>
      <c r="F10" s="430">
        <f>+F11</f>
        <v>20000</v>
      </c>
      <c r="G10" s="79"/>
      <c r="H10" s="79"/>
    </row>
    <row r="11" spans="1:8" ht="12.75">
      <c r="A11" s="420"/>
      <c r="B11" s="438"/>
      <c r="C11" s="439"/>
      <c r="D11" s="422" t="s">
        <v>101</v>
      </c>
      <c r="E11" s="409"/>
      <c r="F11" s="406">
        <f>'TB-4th Qtr'!G15</f>
        <v>20000</v>
      </c>
      <c r="G11" s="79"/>
      <c r="H11" s="79"/>
    </row>
    <row r="12" spans="1:8" ht="12.75" customHeight="1">
      <c r="A12" s="420"/>
      <c r="B12" s="438"/>
      <c r="C12" s="439"/>
      <c r="D12" s="409"/>
      <c r="E12" s="409"/>
      <c r="F12" s="406"/>
      <c r="G12" s="79"/>
      <c r="H12" s="79"/>
    </row>
    <row r="13" spans="1:8" ht="12.75" customHeight="1">
      <c r="A13" s="440"/>
      <c r="B13" s="440"/>
      <c r="C13" s="439" t="s">
        <v>298</v>
      </c>
      <c r="D13" s="409"/>
      <c r="E13" s="409"/>
      <c r="F13" s="430">
        <f>+F14</f>
        <v>4221011.780000001</v>
      </c>
      <c r="G13" s="79"/>
      <c r="H13" s="79"/>
    </row>
    <row r="14" spans="1:8" ht="12.75">
      <c r="A14" s="440"/>
      <c r="B14" s="440"/>
      <c r="C14" s="439"/>
      <c r="D14" s="441" t="s">
        <v>299</v>
      </c>
      <c r="E14" s="409"/>
      <c r="F14" s="406">
        <f>'TB-4th Qtr'!G19</f>
        <v>4221011.780000001</v>
      </c>
      <c r="G14" s="79"/>
      <c r="H14" s="79"/>
    </row>
    <row r="15" spans="1:8" ht="12.75">
      <c r="A15" s="440"/>
      <c r="B15" s="440"/>
      <c r="C15" s="439"/>
      <c r="D15" s="441"/>
      <c r="E15" s="409"/>
      <c r="F15" s="406"/>
      <c r="G15" s="79"/>
      <c r="H15" s="79"/>
    </row>
    <row r="16" spans="1:8" ht="12.75">
      <c r="A16" s="420"/>
      <c r="B16" s="442"/>
      <c r="C16" s="439" t="s">
        <v>300</v>
      </c>
      <c r="D16" s="439"/>
      <c r="E16" s="409"/>
      <c r="F16" s="430">
        <f>+F17+F19+F18</f>
        <v>25689.869999967515</v>
      </c>
      <c r="G16" s="79"/>
      <c r="H16" s="79"/>
    </row>
    <row r="17" spans="1:8" ht="12.75">
      <c r="A17" s="420"/>
      <c r="B17" s="442"/>
      <c r="C17" s="439"/>
      <c r="D17" s="439" t="s">
        <v>510</v>
      </c>
      <c r="E17" s="409"/>
      <c r="F17" s="406"/>
      <c r="G17" s="79"/>
      <c r="H17" s="79"/>
    </row>
    <row r="18" spans="1:8" ht="12.75">
      <c r="A18" s="420"/>
      <c r="B18" s="442"/>
      <c r="C18" s="439"/>
      <c r="D18" s="439" t="s">
        <v>636</v>
      </c>
      <c r="E18" s="409"/>
      <c r="F18" s="406">
        <f>'TB-4th Qtr'!G17</f>
        <v>0</v>
      </c>
      <c r="G18" s="79"/>
      <c r="H18" s="79"/>
    </row>
    <row r="19" spans="1:8" ht="12.75">
      <c r="A19" s="420"/>
      <c r="B19" s="442"/>
      <c r="C19" s="439"/>
      <c r="D19" s="422" t="s">
        <v>301</v>
      </c>
      <c r="E19" s="409"/>
      <c r="F19" s="406">
        <f>'TB-4th Qtr'!G18</f>
        <v>25689.869999967515</v>
      </c>
      <c r="G19" s="79"/>
      <c r="H19" s="79"/>
    </row>
    <row r="20" spans="1:8" ht="12.75">
      <c r="A20" s="420"/>
      <c r="B20" s="442"/>
      <c r="C20" s="439"/>
      <c r="D20" s="422"/>
      <c r="E20" s="409"/>
      <c r="F20" s="406"/>
      <c r="G20" s="79"/>
      <c r="H20" s="79"/>
    </row>
    <row r="21" spans="1:8" ht="12.75">
      <c r="A21" s="420"/>
      <c r="B21" s="437" t="s">
        <v>84</v>
      </c>
      <c r="C21" s="439"/>
      <c r="D21" s="422"/>
      <c r="E21" s="409"/>
      <c r="F21" s="406">
        <f>F22</f>
        <v>25869581.349999998</v>
      </c>
      <c r="G21" s="79"/>
      <c r="H21" s="79"/>
    </row>
    <row r="22" spans="1:8" ht="12.75">
      <c r="A22" s="420"/>
      <c r="B22" s="442"/>
      <c r="C22" s="439" t="s">
        <v>592</v>
      </c>
      <c r="D22" s="422"/>
      <c r="E22" s="409"/>
      <c r="F22" s="430">
        <f>F23+F24+F25</f>
        <v>25869581.349999998</v>
      </c>
      <c r="G22" s="79"/>
      <c r="H22" s="79"/>
    </row>
    <row r="23" spans="1:8" ht="12.75">
      <c r="A23" s="420"/>
      <c r="B23" s="442"/>
      <c r="C23" s="439"/>
      <c r="D23" s="422" t="s">
        <v>567</v>
      </c>
      <c r="E23" s="409"/>
      <c r="F23" s="406">
        <f>'TB-4th Qtr'!G20</f>
        <v>22237581.29</v>
      </c>
      <c r="G23" s="79"/>
      <c r="H23" s="79"/>
    </row>
    <row r="24" spans="1:8" ht="12.75">
      <c r="A24" s="420"/>
      <c r="B24" s="442"/>
      <c r="C24" s="439"/>
      <c r="D24" s="422" t="s">
        <v>739</v>
      </c>
      <c r="E24" s="409"/>
      <c r="F24" s="406">
        <f>'TB-4th Qtr'!G32</f>
        <v>2665473.659999999</v>
      </c>
      <c r="G24" s="79"/>
      <c r="H24" s="79"/>
    </row>
    <row r="25" spans="1:8" ht="12.75">
      <c r="A25" s="420"/>
      <c r="B25" s="442"/>
      <c r="C25" s="439"/>
      <c r="D25" s="422" t="s">
        <v>734</v>
      </c>
      <c r="E25" s="409"/>
      <c r="F25" s="406">
        <f>'TB-4th Qtr'!G21</f>
        <v>966526.4</v>
      </c>
      <c r="G25" s="79"/>
      <c r="H25" s="79"/>
    </row>
    <row r="26" spans="1:8" ht="12.75">
      <c r="A26" s="413"/>
      <c r="B26" s="443"/>
      <c r="C26" s="380"/>
      <c r="D26" s="380"/>
      <c r="E26" s="409"/>
      <c r="F26" s="406"/>
      <c r="G26" s="79"/>
      <c r="H26" s="95"/>
    </row>
    <row r="27" spans="1:8" ht="12.75">
      <c r="A27" s="419"/>
      <c r="B27" s="437" t="s">
        <v>85</v>
      </c>
      <c r="C27" s="410"/>
      <c r="D27" s="410"/>
      <c r="E27" s="411"/>
      <c r="F27" s="430">
        <f>+F28+F31+F36</f>
        <v>101354</v>
      </c>
      <c r="G27" s="78"/>
      <c r="H27" s="78"/>
    </row>
    <row r="28" spans="1:8" ht="12.75">
      <c r="A28" s="419"/>
      <c r="B28" s="437"/>
      <c r="C28" s="439" t="s">
        <v>303</v>
      </c>
      <c r="D28" s="410"/>
      <c r="E28" s="411"/>
      <c r="F28" s="430">
        <f>+F29</f>
        <v>0</v>
      </c>
      <c r="G28" s="78"/>
      <c r="H28" s="78"/>
    </row>
    <row r="29" spans="1:8" ht="12.75">
      <c r="A29" s="419"/>
      <c r="B29" s="437"/>
      <c r="C29" s="410"/>
      <c r="D29" s="422" t="s">
        <v>225</v>
      </c>
      <c r="E29" s="411"/>
      <c r="F29" s="412">
        <v>0</v>
      </c>
      <c r="G29" s="78"/>
      <c r="H29" s="78"/>
    </row>
    <row r="30" spans="1:8" ht="12.75">
      <c r="A30" s="419"/>
      <c r="B30" s="437"/>
      <c r="C30" s="410"/>
      <c r="D30" s="422"/>
      <c r="E30" s="411"/>
      <c r="F30" s="412"/>
      <c r="G30" s="78"/>
      <c r="H30" s="78"/>
    </row>
    <row r="31" spans="1:8" ht="12.75">
      <c r="A31" s="420"/>
      <c r="B31" s="423"/>
      <c r="C31" s="439" t="s">
        <v>304</v>
      </c>
      <c r="D31" s="409"/>
      <c r="E31" s="409"/>
      <c r="F31" s="430">
        <f>+F32+F33+F34</f>
        <v>101354</v>
      </c>
      <c r="G31" s="78"/>
      <c r="H31" s="78"/>
    </row>
    <row r="32" spans="1:8" ht="12.75">
      <c r="A32" s="420"/>
      <c r="B32" s="423"/>
      <c r="C32" s="439"/>
      <c r="D32" s="422" t="s">
        <v>11</v>
      </c>
      <c r="E32" s="409"/>
      <c r="F32" s="412">
        <f>'TB-4th Qtr'!G22</f>
        <v>101354</v>
      </c>
      <c r="G32" s="78"/>
      <c r="H32" s="78"/>
    </row>
    <row r="33" spans="1:8" ht="12.75">
      <c r="A33" s="420"/>
      <c r="B33" s="423"/>
      <c r="C33" s="439"/>
      <c r="D33" s="422" t="s">
        <v>108</v>
      </c>
      <c r="E33" s="409"/>
      <c r="F33" s="412">
        <f>'TB-4th Qtr'!G23</f>
        <v>0</v>
      </c>
      <c r="G33" s="78"/>
      <c r="H33" s="78"/>
    </row>
    <row r="34" spans="1:8" ht="12.75">
      <c r="A34" s="420"/>
      <c r="B34" s="423"/>
      <c r="C34" s="439"/>
      <c r="D34" s="422" t="s">
        <v>109</v>
      </c>
      <c r="E34" s="409"/>
      <c r="F34" s="412">
        <f>'TB-4th Qtr'!G24</f>
        <v>0</v>
      </c>
      <c r="G34" s="78"/>
      <c r="H34" s="78"/>
    </row>
    <row r="35" spans="1:8" ht="12.75">
      <c r="A35" s="420"/>
      <c r="B35" s="423"/>
      <c r="C35" s="439"/>
      <c r="D35" s="409"/>
      <c r="E35" s="409"/>
      <c r="F35" s="32"/>
      <c r="G35" s="78"/>
      <c r="H35" s="78"/>
    </row>
    <row r="36" spans="1:8" ht="12.75">
      <c r="A36" s="420"/>
      <c r="B36" s="423"/>
      <c r="C36" s="439" t="s">
        <v>305</v>
      </c>
      <c r="D36" s="409"/>
      <c r="E36" s="409"/>
      <c r="F36" s="430">
        <f>SUM(F37:F40)</f>
        <v>0</v>
      </c>
      <c r="G36" s="78"/>
      <c r="H36" s="78"/>
    </row>
    <row r="37" spans="1:8" ht="12.75">
      <c r="A37" s="420"/>
      <c r="B37" s="423"/>
      <c r="C37" s="439"/>
      <c r="D37" s="422" t="s">
        <v>306</v>
      </c>
      <c r="E37" s="409"/>
      <c r="F37" s="412">
        <f>'TB-4th Qtr'!G25</f>
        <v>0</v>
      </c>
      <c r="G37" s="78"/>
      <c r="H37" s="78"/>
    </row>
    <row r="38" spans="1:8" ht="12.75">
      <c r="A38" s="420"/>
      <c r="B38" s="423"/>
      <c r="C38" s="439"/>
      <c r="D38" s="422" t="s">
        <v>307</v>
      </c>
      <c r="E38" s="409"/>
      <c r="F38" s="412">
        <f>'TB-4th Qtr'!G26</f>
        <v>0</v>
      </c>
      <c r="G38" s="78"/>
      <c r="H38" s="78"/>
    </row>
    <row r="39" spans="1:8" ht="12.75">
      <c r="A39" s="420"/>
      <c r="B39" s="423"/>
      <c r="C39" s="439"/>
      <c r="D39" s="322" t="s">
        <v>534</v>
      </c>
      <c r="E39" s="409"/>
      <c r="F39" s="412">
        <f>'TB-4th Qtr'!G27</f>
        <v>0</v>
      </c>
      <c r="G39" s="78"/>
      <c r="H39" s="78"/>
    </row>
    <row r="40" spans="1:8" ht="12.75">
      <c r="A40" s="420"/>
      <c r="B40" s="423"/>
      <c r="C40" s="439"/>
      <c r="D40" s="322" t="s">
        <v>529</v>
      </c>
      <c r="E40" s="409"/>
      <c r="F40" s="412">
        <f>'TB-4th Qtr'!G28</f>
        <v>0</v>
      </c>
      <c r="G40" s="78"/>
      <c r="H40" s="78"/>
    </row>
    <row r="41" spans="1:8" ht="12.75">
      <c r="A41" s="420"/>
      <c r="B41" s="423"/>
      <c r="C41" s="439"/>
      <c r="D41" s="409"/>
      <c r="E41" s="409"/>
      <c r="F41" s="32"/>
      <c r="G41" s="78"/>
      <c r="H41" s="78"/>
    </row>
    <row r="42" spans="1:8" ht="12.75">
      <c r="A42" s="419"/>
      <c r="B42" s="410" t="s">
        <v>308</v>
      </c>
      <c r="C42" s="410"/>
      <c r="D42" s="410"/>
      <c r="E42" s="411"/>
      <c r="F42" s="430">
        <f>+F43+F48</f>
        <v>10678</v>
      </c>
      <c r="G42" s="78"/>
      <c r="H42" s="78"/>
    </row>
    <row r="43" spans="1:8" ht="12.75">
      <c r="A43" s="420"/>
      <c r="B43" s="423"/>
      <c r="C43" s="439" t="s">
        <v>309</v>
      </c>
      <c r="D43" s="439"/>
      <c r="E43" s="409"/>
      <c r="F43" s="430">
        <f>+F44+F45+F46</f>
        <v>10678</v>
      </c>
      <c r="G43" s="78"/>
      <c r="H43" s="78"/>
    </row>
    <row r="44" spans="1:8" ht="12.75">
      <c r="A44" s="420"/>
      <c r="B44" s="423"/>
      <c r="C44" s="439"/>
      <c r="D44" s="422" t="s">
        <v>213</v>
      </c>
      <c r="E44" s="409"/>
      <c r="F44" s="412">
        <f>'TB-4th Qtr'!G29</f>
        <v>0</v>
      </c>
      <c r="G44" s="78"/>
      <c r="H44" s="78"/>
    </row>
    <row r="45" spans="1:8" ht="12.75">
      <c r="A45" s="420"/>
      <c r="B45" s="423"/>
      <c r="C45" s="439"/>
      <c r="D45" s="422" t="s">
        <v>310</v>
      </c>
      <c r="E45" s="409"/>
      <c r="F45" s="412">
        <f>'TB-4th Qtr'!G30</f>
        <v>0</v>
      </c>
      <c r="G45" s="78"/>
      <c r="H45" s="78"/>
    </row>
    <row r="46" spans="1:8" ht="12.75">
      <c r="A46" s="420"/>
      <c r="B46" s="423"/>
      <c r="C46" s="439"/>
      <c r="D46" s="422" t="s">
        <v>60</v>
      </c>
      <c r="E46" s="409"/>
      <c r="F46" s="412">
        <f>'TB-4th Qtr'!G31</f>
        <v>10678</v>
      </c>
      <c r="G46" s="78"/>
      <c r="H46" s="78"/>
    </row>
    <row r="47" spans="1:8" ht="12.75">
      <c r="A47" s="420"/>
      <c r="B47" s="423"/>
      <c r="C47" s="439"/>
      <c r="D47" s="409"/>
      <c r="E47" s="409"/>
      <c r="F47" s="32"/>
      <c r="G47" s="78"/>
      <c r="H47" s="78"/>
    </row>
    <row r="48" spans="1:8" ht="12.75">
      <c r="A48" s="420"/>
      <c r="B48" s="423"/>
      <c r="C48" s="439" t="s">
        <v>311</v>
      </c>
      <c r="D48" s="439"/>
      <c r="E48" s="409"/>
      <c r="F48" s="430">
        <f>+F49</f>
        <v>0</v>
      </c>
      <c r="G48" s="78"/>
      <c r="H48" s="78"/>
    </row>
    <row r="49" spans="1:8" ht="12.75">
      <c r="A49" s="420"/>
      <c r="B49" s="423"/>
      <c r="C49" s="439"/>
      <c r="D49" s="422" t="s">
        <v>52</v>
      </c>
      <c r="E49" s="409"/>
      <c r="F49" s="412">
        <v>0</v>
      </c>
      <c r="G49" s="78"/>
      <c r="H49" s="78"/>
    </row>
    <row r="50" spans="1:8" ht="12.75">
      <c r="A50" s="420"/>
      <c r="B50" s="423"/>
      <c r="C50" s="422"/>
      <c r="D50" s="409"/>
      <c r="E50" s="409"/>
      <c r="F50" s="32"/>
      <c r="G50" s="78"/>
      <c r="H50" s="78"/>
    </row>
    <row r="51" spans="1:8" ht="12.75">
      <c r="A51" s="419"/>
      <c r="B51" s="410" t="s">
        <v>316</v>
      </c>
      <c r="C51" s="431"/>
      <c r="D51" s="431"/>
      <c r="E51" s="411"/>
      <c r="F51" s="534">
        <f>+F42+F27+F9+F21</f>
        <v>30248314.999999966</v>
      </c>
      <c r="G51" s="78"/>
      <c r="H51" s="78"/>
    </row>
    <row r="52" spans="1:8" ht="12.75">
      <c r="A52" s="420"/>
      <c r="B52" s="409"/>
      <c r="C52" s="422"/>
      <c r="D52" s="409"/>
      <c r="E52" s="409"/>
      <c r="F52" s="406"/>
      <c r="G52" s="78"/>
      <c r="H52" s="78"/>
    </row>
    <row r="53" spans="1:8" ht="12.75">
      <c r="A53" s="410" t="s">
        <v>317</v>
      </c>
      <c r="B53" s="409"/>
      <c r="C53" s="422"/>
      <c r="D53" s="409"/>
      <c r="E53" s="409"/>
      <c r="F53" s="32"/>
      <c r="G53" s="78"/>
      <c r="H53" s="78"/>
    </row>
    <row r="54" spans="1:6" ht="12.75">
      <c r="A54" s="419"/>
      <c r="B54" s="410" t="s">
        <v>86</v>
      </c>
      <c r="C54" s="410"/>
      <c r="D54" s="431"/>
      <c r="E54" s="411"/>
      <c r="F54" s="430">
        <f>F58+F63+F68+F74+F81+F83+F98+F104+F113</f>
        <v>51354801.42000001</v>
      </c>
    </row>
    <row r="55" spans="1:6" ht="12.75">
      <c r="A55" s="419"/>
      <c r="B55" s="533"/>
      <c r="C55" s="422" t="s">
        <v>780</v>
      </c>
      <c r="E55" s="411"/>
      <c r="F55" s="406">
        <f>'TB-4th Qtr'!G37</f>
        <v>43854619</v>
      </c>
    </row>
    <row r="56" spans="1:6" ht="12.75">
      <c r="A56" s="419"/>
      <c r="B56" s="533"/>
      <c r="C56" s="439"/>
      <c r="D56" s="445" t="s">
        <v>818</v>
      </c>
      <c r="E56" s="411"/>
      <c r="F56" s="406">
        <f>-'TB-4th Qtr'!H38</f>
        <v>-780776.76</v>
      </c>
    </row>
    <row r="57" spans="1:6" ht="12.75" hidden="1">
      <c r="A57" s="419"/>
      <c r="B57" s="533"/>
      <c r="C57" s="439"/>
      <c r="D57" s="446" t="s">
        <v>321</v>
      </c>
      <c r="E57" s="411"/>
      <c r="F57" s="406"/>
    </row>
    <row r="58" spans="1:6" ht="12.75">
      <c r="A58" s="419"/>
      <c r="B58" s="533"/>
      <c r="C58" s="439"/>
      <c r="D58" s="446" t="s">
        <v>319</v>
      </c>
      <c r="E58" s="411"/>
      <c r="F58" s="405">
        <f>F55+F56</f>
        <v>43073842.24</v>
      </c>
    </row>
    <row r="59" spans="1:6" ht="12.75">
      <c r="A59" s="419"/>
      <c r="B59" s="533"/>
      <c r="C59" s="439"/>
      <c r="D59" s="446"/>
      <c r="E59" s="411"/>
      <c r="F59" s="406"/>
    </row>
    <row r="60" spans="1:6" ht="12.75">
      <c r="A60" s="419"/>
      <c r="B60" s="533"/>
      <c r="C60" s="422" t="s">
        <v>816</v>
      </c>
      <c r="E60" s="409"/>
      <c r="F60" s="412">
        <f>'TB-4th Qtr'!G41</f>
        <v>3381829.4099999997</v>
      </c>
    </row>
    <row r="61" spans="1:6" ht="12.75">
      <c r="A61" s="419"/>
      <c r="B61" s="533"/>
      <c r="C61" s="439"/>
      <c r="D61" s="445" t="s">
        <v>817</v>
      </c>
      <c r="E61" s="409"/>
      <c r="F61" s="406">
        <f>-'TB-4th Qtr'!H42</f>
        <v>-21674.35</v>
      </c>
    </row>
    <row r="62" spans="1:6" ht="12.75" hidden="1">
      <c r="A62" s="419"/>
      <c r="B62" s="533"/>
      <c r="C62" s="439"/>
      <c r="D62" s="446" t="s">
        <v>327</v>
      </c>
      <c r="E62" s="409"/>
      <c r="F62" s="406">
        <v>0</v>
      </c>
    </row>
    <row r="63" spans="1:6" ht="12.75">
      <c r="A63" s="419"/>
      <c r="B63" s="533"/>
      <c r="C63" s="439"/>
      <c r="D63" s="446" t="s">
        <v>319</v>
      </c>
      <c r="E63" s="409"/>
      <c r="F63" s="405">
        <f>SUM(F60:F62)</f>
        <v>3360155.0599999996</v>
      </c>
    </row>
    <row r="64" spans="1:6" ht="12.75">
      <c r="A64" s="419"/>
      <c r="B64" s="533"/>
      <c r="C64" s="439"/>
      <c r="D64" s="446"/>
      <c r="E64" s="411"/>
      <c r="F64" s="406"/>
    </row>
    <row r="65" spans="1:6" ht="12.75">
      <c r="A65" s="419"/>
      <c r="B65" s="533"/>
      <c r="C65" s="422" t="s">
        <v>782</v>
      </c>
      <c r="E65" s="409"/>
      <c r="F65" s="412">
        <f>'TB-4th Qtr'!G39</f>
        <v>968000</v>
      </c>
    </row>
    <row r="66" spans="1:6" ht="12.75">
      <c r="A66" s="419"/>
      <c r="B66" s="533"/>
      <c r="C66" s="439"/>
      <c r="D66" s="445" t="s">
        <v>819</v>
      </c>
      <c r="E66" s="409"/>
      <c r="F66" s="406">
        <f>-'TB-4th Qtr'!H40</f>
        <v>-7260</v>
      </c>
    </row>
    <row r="67" spans="1:6" ht="12.75" hidden="1">
      <c r="A67" s="419"/>
      <c r="B67" s="533"/>
      <c r="C67" s="439"/>
      <c r="D67" s="446" t="s">
        <v>327</v>
      </c>
      <c r="E67" s="409"/>
      <c r="F67" s="406">
        <v>0</v>
      </c>
    </row>
    <row r="68" spans="1:6" ht="12.75">
      <c r="A68" s="419"/>
      <c r="B68" s="533"/>
      <c r="C68" s="439"/>
      <c r="D68" s="446" t="s">
        <v>319</v>
      </c>
      <c r="E68" s="409"/>
      <c r="F68" s="405">
        <f>SUM(F65:F67)</f>
        <v>960740</v>
      </c>
    </row>
    <row r="69" spans="1:6" ht="12.75">
      <c r="A69" s="419"/>
      <c r="B69" s="533"/>
      <c r="C69" s="439"/>
      <c r="D69" s="446"/>
      <c r="E69" s="411"/>
      <c r="F69" s="406"/>
    </row>
    <row r="70" spans="1:6" ht="12.75">
      <c r="A70" s="419"/>
      <c r="B70" s="533"/>
      <c r="C70" s="533"/>
      <c r="D70" s="431"/>
      <c r="E70" s="411"/>
      <c r="F70" s="406"/>
    </row>
    <row r="71" spans="1:8" ht="12.75">
      <c r="A71" s="420"/>
      <c r="B71" s="444"/>
      <c r="C71" s="422" t="s">
        <v>12</v>
      </c>
      <c r="E71" s="409"/>
      <c r="F71" s="412">
        <f>'TB-4th Qtr'!G33</f>
        <v>1208049.99</v>
      </c>
      <c r="G71" s="152"/>
      <c r="H71" s="167"/>
    </row>
    <row r="72" spans="1:8" ht="12.75">
      <c r="A72" s="420"/>
      <c r="B72" s="444"/>
      <c r="C72" s="439"/>
      <c r="D72" s="445" t="s">
        <v>320</v>
      </c>
      <c r="E72" s="409"/>
      <c r="F72" s="406">
        <f>-'TB-4th Qtr'!H34</f>
        <v>-593857.2</v>
      </c>
      <c r="G72" s="152"/>
      <c r="H72" s="167"/>
    </row>
    <row r="73" spans="1:8" ht="12.75" hidden="1">
      <c r="A73" s="420"/>
      <c r="B73" s="444"/>
      <c r="C73" s="439"/>
      <c r="D73" s="446" t="s">
        <v>321</v>
      </c>
      <c r="E73" s="409"/>
      <c r="F73" s="406">
        <v>0</v>
      </c>
      <c r="G73" s="152"/>
      <c r="H73" s="167"/>
    </row>
    <row r="74" spans="1:8" ht="12.75">
      <c r="A74" s="420"/>
      <c r="B74" s="444"/>
      <c r="C74" s="439"/>
      <c r="D74" s="446" t="s">
        <v>319</v>
      </c>
      <c r="E74" s="409"/>
      <c r="F74" s="405">
        <f>SUM(F71:F73)</f>
        <v>614192.79</v>
      </c>
      <c r="G74" s="152"/>
      <c r="H74" s="167"/>
    </row>
    <row r="75" spans="1:8" ht="9.75" customHeight="1">
      <c r="A75" s="420"/>
      <c r="B75" s="444"/>
      <c r="C75" s="439"/>
      <c r="D75" s="446"/>
      <c r="E75" s="409"/>
      <c r="F75" s="447"/>
      <c r="G75" s="152"/>
      <c r="H75" s="167"/>
    </row>
    <row r="76" spans="1:8" ht="12.75">
      <c r="A76" s="420"/>
      <c r="B76" s="444"/>
      <c r="C76" s="422" t="s">
        <v>322</v>
      </c>
      <c r="E76" s="409"/>
      <c r="F76" s="406">
        <f>'TB-4th Qtr'!G35</f>
        <v>1452998</v>
      </c>
      <c r="G76" s="152"/>
      <c r="H76" s="167"/>
    </row>
    <row r="77" spans="1:8" ht="12.75">
      <c r="A77" s="420"/>
      <c r="B77" s="444"/>
      <c r="C77" s="439"/>
      <c r="D77" s="445" t="s">
        <v>323</v>
      </c>
      <c r="E77" s="409"/>
      <c r="F77" s="406">
        <f>-'TB-4th Qtr'!H36</f>
        <v>-346231.98</v>
      </c>
      <c r="G77" s="152"/>
      <c r="H77" s="167"/>
    </row>
    <row r="78" spans="1:8" ht="12.75">
      <c r="A78" s="420"/>
      <c r="B78" s="444"/>
      <c r="C78" s="439"/>
      <c r="D78" s="448" t="s">
        <v>324</v>
      </c>
      <c r="E78" s="409"/>
      <c r="F78" s="430">
        <f>-'TB-4th Qtr'!H35</f>
        <v>0</v>
      </c>
      <c r="G78" s="152"/>
      <c r="H78" s="167"/>
    </row>
    <row r="79" spans="1:8" ht="12.75" hidden="1">
      <c r="A79" s="420"/>
      <c r="B79" s="444"/>
      <c r="C79" s="439"/>
      <c r="D79" s="449" t="s">
        <v>325</v>
      </c>
      <c r="E79" s="409"/>
      <c r="F79" s="406"/>
      <c r="G79" s="152"/>
      <c r="H79" s="167"/>
    </row>
    <row r="80" spans="1:8" ht="12.75" hidden="1">
      <c r="A80" s="420"/>
      <c r="B80" s="444"/>
      <c r="C80" s="439"/>
      <c r="D80" s="448" t="s">
        <v>324</v>
      </c>
      <c r="E80" s="409"/>
      <c r="F80" s="406">
        <v>0</v>
      </c>
      <c r="G80" s="152"/>
      <c r="H80" s="167"/>
    </row>
    <row r="81" spans="1:8" ht="12.75">
      <c r="A81" s="420"/>
      <c r="B81" s="444"/>
      <c r="C81" s="439"/>
      <c r="D81" s="450" t="s">
        <v>319</v>
      </c>
      <c r="E81" s="409"/>
      <c r="F81" s="405">
        <f>SUM(F76:F80)</f>
        <v>1106766.02</v>
      </c>
      <c r="G81" s="152"/>
      <c r="H81" s="167"/>
    </row>
    <row r="82" spans="1:8" ht="7.5" customHeight="1">
      <c r="A82" s="420"/>
      <c r="B82" s="444"/>
      <c r="C82" s="439"/>
      <c r="D82" s="450"/>
      <c r="E82" s="409"/>
      <c r="F82" s="406"/>
      <c r="G82" s="152"/>
      <c r="H82" s="167"/>
    </row>
    <row r="83" spans="1:8" ht="12.75">
      <c r="A83" s="420"/>
      <c r="B83" s="444"/>
      <c r="C83" s="439" t="s">
        <v>514</v>
      </c>
      <c r="D83" s="439"/>
      <c r="E83" s="409"/>
      <c r="F83" s="430">
        <f>+F87+F92</f>
        <v>224286.46000000002</v>
      </c>
      <c r="G83" s="152"/>
      <c r="H83" s="167"/>
    </row>
    <row r="84" spans="1:8" ht="12.75">
      <c r="A84" s="420"/>
      <c r="B84" s="444"/>
      <c r="C84" s="439"/>
      <c r="D84" s="439" t="s">
        <v>511</v>
      </c>
      <c r="E84" s="409"/>
      <c r="F84" s="412">
        <f>'TB-4th Qtr'!G43</f>
        <v>120122</v>
      </c>
      <c r="G84" s="152"/>
      <c r="H84" s="167"/>
    </row>
    <row r="85" spans="1:8" ht="12.75">
      <c r="A85" s="420"/>
      <c r="B85" s="444"/>
      <c r="C85" s="439"/>
      <c r="D85" s="445" t="s">
        <v>512</v>
      </c>
      <c r="E85" s="409"/>
      <c r="F85" s="406">
        <f>-'TB-4th Qtr'!H44</f>
        <v>-14765.57</v>
      </c>
      <c r="G85" s="152"/>
      <c r="H85" s="167"/>
    </row>
    <row r="86" spans="1:8" ht="12.75" hidden="1">
      <c r="A86" s="420"/>
      <c r="B86" s="444"/>
      <c r="C86" s="439"/>
      <c r="D86" s="446" t="s">
        <v>513</v>
      </c>
      <c r="E86" s="409"/>
      <c r="F86" s="406">
        <v>0</v>
      </c>
      <c r="G86" s="152"/>
      <c r="H86" s="167"/>
    </row>
    <row r="87" spans="1:8" ht="12.75">
      <c r="A87" s="420"/>
      <c r="B87" s="444"/>
      <c r="C87" s="439"/>
      <c r="D87" s="446" t="s">
        <v>319</v>
      </c>
      <c r="E87" s="409"/>
      <c r="F87" s="405">
        <f>F84+F85</f>
        <v>105356.43</v>
      </c>
      <c r="G87" s="152"/>
      <c r="H87" s="167"/>
    </row>
    <row r="88" spans="1:8" ht="6.75" customHeight="1">
      <c r="A88" s="420"/>
      <c r="B88" s="444"/>
      <c r="C88" s="439"/>
      <c r="D88" s="450"/>
      <c r="E88" s="409"/>
      <c r="F88" s="32"/>
      <c r="H88" s="3"/>
    </row>
    <row r="89" spans="1:8" ht="12.75">
      <c r="A89" s="420"/>
      <c r="B89" s="444"/>
      <c r="C89" s="439"/>
      <c r="D89" s="439" t="s">
        <v>128</v>
      </c>
      <c r="E89" s="409"/>
      <c r="F89" s="412">
        <f>'TB-4th Qtr'!G45</f>
        <v>369000</v>
      </c>
      <c r="H89" s="3"/>
    </row>
    <row r="90" spans="1:8" ht="12.75">
      <c r="A90" s="420"/>
      <c r="B90" s="444"/>
      <c r="C90" s="439"/>
      <c r="D90" s="445" t="s">
        <v>515</v>
      </c>
      <c r="E90" s="409"/>
      <c r="F90" s="406">
        <f>-'TB-4th Qtr'!H46</f>
        <v>-250069.96999999997</v>
      </c>
      <c r="H90" s="3"/>
    </row>
    <row r="91" spans="1:8" ht="25.5" hidden="1">
      <c r="A91" s="420"/>
      <c r="B91" s="444"/>
      <c r="C91" s="439"/>
      <c r="D91" s="446" t="s">
        <v>516</v>
      </c>
      <c r="E91" s="409"/>
      <c r="F91" s="406">
        <v>0</v>
      </c>
      <c r="H91" s="3"/>
    </row>
    <row r="92" spans="1:8" ht="12.75">
      <c r="A92" s="420"/>
      <c r="B92" s="444"/>
      <c r="C92" s="439"/>
      <c r="D92" s="446" t="s">
        <v>319</v>
      </c>
      <c r="E92" s="409"/>
      <c r="F92" s="405">
        <f>SUM(F89:F91)</f>
        <v>118930.03000000003</v>
      </c>
      <c r="H92" s="3"/>
    </row>
    <row r="93" spans="1:8" ht="6" customHeight="1">
      <c r="A93" s="420"/>
      <c r="B93" s="444"/>
      <c r="C93" s="439"/>
      <c r="D93" s="450"/>
      <c r="E93" s="409"/>
      <c r="F93" s="32"/>
      <c r="H93" s="3"/>
    </row>
    <row r="94" spans="1:8" ht="12.75">
      <c r="A94" s="420"/>
      <c r="B94" s="451"/>
      <c r="C94" s="439" t="s">
        <v>328</v>
      </c>
      <c r="D94" s="409"/>
      <c r="E94" s="409"/>
      <c r="F94" s="430"/>
      <c r="H94" s="3"/>
    </row>
    <row r="95" spans="1:8" ht="12.75">
      <c r="A95" s="420"/>
      <c r="B95" s="451"/>
      <c r="C95" s="439"/>
      <c r="D95" s="422" t="s">
        <v>329</v>
      </c>
      <c r="E95" s="409"/>
      <c r="F95" s="412">
        <f>'TB-4th Qtr'!G49</f>
        <v>608207.2</v>
      </c>
      <c r="H95" s="3"/>
    </row>
    <row r="96" spans="1:8" ht="12.75">
      <c r="A96" s="420"/>
      <c r="B96" s="451"/>
      <c r="C96" s="439"/>
      <c r="D96" s="452" t="s">
        <v>330</v>
      </c>
      <c r="E96" s="409"/>
      <c r="F96" s="406">
        <f>-'TB-4th Qtr'!H50</f>
        <v>-354971.07</v>
      </c>
      <c r="H96" s="3"/>
    </row>
    <row r="97" spans="1:8" ht="12.75" hidden="1">
      <c r="A97" s="420"/>
      <c r="B97" s="451"/>
      <c r="C97" s="439"/>
      <c r="D97" s="445" t="s">
        <v>331</v>
      </c>
      <c r="E97" s="409"/>
      <c r="F97" s="406">
        <v>0</v>
      </c>
      <c r="H97" s="3"/>
    </row>
    <row r="98" spans="1:6" ht="12.75">
      <c r="A98" s="420"/>
      <c r="B98" s="451"/>
      <c r="C98" s="439"/>
      <c r="D98" s="445" t="s">
        <v>319</v>
      </c>
      <c r="E98" s="409"/>
      <c r="F98" s="405">
        <f>SUM(F95:F97)</f>
        <v>253236.12999999995</v>
      </c>
    </row>
    <row r="99" spans="1:6" ht="6.75" customHeight="1">
      <c r="A99" s="420"/>
      <c r="B99" s="423"/>
      <c r="C99" s="409"/>
      <c r="D99" s="445"/>
      <c r="E99" s="409"/>
      <c r="F99" s="447"/>
    </row>
    <row r="100" spans="1:6" ht="12.75">
      <c r="A100" s="420"/>
      <c r="B100" s="423"/>
      <c r="C100" s="368" t="s">
        <v>820</v>
      </c>
      <c r="D100" s="368"/>
      <c r="E100" s="409"/>
      <c r="F100" s="430">
        <v>0</v>
      </c>
    </row>
    <row r="101" spans="1:6" ht="12.75">
      <c r="A101" s="420"/>
      <c r="B101" s="423"/>
      <c r="C101" s="368"/>
      <c r="D101" s="422" t="s">
        <v>754</v>
      </c>
      <c r="E101" s="409"/>
      <c r="F101" s="406">
        <f>'TB-4th Qtr'!G47</f>
        <v>2391000</v>
      </c>
    </row>
    <row r="102" spans="1:6" ht="12.75">
      <c r="A102" s="420"/>
      <c r="B102" s="423"/>
      <c r="C102" s="368"/>
      <c r="D102" s="452" t="s">
        <v>755</v>
      </c>
      <c r="E102" s="409"/>
      <c r="F102" s="406">
        <f>-'TB-4th Qtr'!H48</f>
        <v>-979674.17</v>
      </c>
    </row>
    <row r="103" spans="1:6" ht="12.75" hidden="1">
      <c r="A103" s="420"/>
      <c r="B103" s="423"/>
      <c r="C103" s="368"/>
      <c r="D103" s="445" t="s">
        <v>331</v>
      </c>
      <c r="E103" s="409"/>
      <c r="F103" s="406"/>
    </row>
    <row r="104" spans="1:6" ht="12.75">
      <c r="A104" s="420"/>
      <c r="B104" s="423"/>
      <c r="C104" s="368"/>
      <c r="D104" s="445" t="s">
        <v>319</v>
      </c>
      <c r="E104" s="409"/>
      <c r="F104" s="405">
        <f>SUM(F101:F103)</f>
        <v>1411325.83</v>
      </c>
    </row>
    <row r="105" spans="1:6" ht="12.75">
      <c r="A105" s="420"/>
      <c r="B105" s="423"/>
      <c r="C105" s="368"/>
      <c r="D105" s="368"/>
      <c r="E105" s="409"/>
      <c r="F105" s="406"/>
    </row>
    <row r="106" spans="1:6" ht="12.75">
      <c r="A106" s="420"/>
      <c r="B106" s="423"/>
      <c r="C106" s="368" t="s">
        <v>644</v>
      </c>
      <c r="D106" s="368"/>
      <c r="E106" s="409"/>
      <c r="F106" s="430">
        <f>F107</f>
        <v>0</v>
      </c>
    </row>
    <row r="107" spans="1:6" ht="12.75">
      <c r="A107" s="420"/>
      <c r="B107" s="423"/>
      <c r="C107" s="368"/>
      <c r="D107" s="368" t="s">
        <v>645</v>
      </c>
      <c r="E107" s="409"/>
      <c r="F107" s="406">
        <f>'TB-4th Qtr'!G51</f>
        <v>0</v>
      </c>
    </row>
    <row r="108" spans="1:6" ht="12.75">
      <c r="A108" s="420"/>
      <c r="B108" s="423"/>
      <c r="C108" s="368"/>
      <c r="D108" s="368"/>
      <c r="E108" s="409"/>
      <c r="F108" s="406"/>
    </row>
    <row r="109" spans="1:6" ht="7.5" customHeight="1">
      <c r="A109" s="420"/>
      <c r="B109" s="423"/>
      <c r="C109" s="439"/>
      <c r="D109" s="439"/>
      <c r="E109" s="409"/>
      <c r="F109" s="32"/>
    </row>
    <row r="110" spans="1:6" ht="12.75">
      <c r="A110" s="420"/>
      <c r="B110" s="423"/>
      <c r="C110" s="422" t="s">
        <v>15</v>
      </c>
      <c r="D110" s="409"/>
      <c r="E110" s="409"/>
      <c r="F110" s="430"/>
    </row>
    <row r="111" spans="1:6" ht="12.75">
      <c r="A111" s="420"/>
      <c r="B111" s="423"/>
      <c r="C111" s="409"/>
      <c r="D111" s="422" t="s">
        <v>15</v>
      </c>
      <c r="E111" s="409"/>
      <c r="F111" s="406">
        <f>'TB-4th Qtr'!G54</f>
        <v>350256.89</v>
      </c>
    </row>
    <row r="112" spans="1:6" ht="12.75">
      <c r="A112" s="420"/>
      <c r="B112" s="423"/>
      <c r="C112" s="409"/>
      <c r="D112" s="445" t="s">
        <v>336</v>
      </c>
      <c r="E112" s="409"/>
      <c r="F112" s="406">
        <v>0</v>
      </c>
    </row>
    <row r="113" spans="1:6" ht="12.75">
      <c r="A113" s="420"/>
      <c r="B113" s="423"/>
      <c r="C113" s="409"/>
      <c r="D113" s="445" t="s">
        <v>319</v>
      </c>
      <c r="E113" s="409"/>
      <c r="F113" s="405">
        <f>SUM(F111:F112)</f>
        <v>350256.89</v>
      </c>
    </row>
    <row r="114" spans="1:6" ht="12.75">
      <c r="A114" s="420"/>
      <c r="B114" s="423"/>
      <c r="C114" s="409"/>
      <c r="D114" s="445"/>
      <c r="E114" s="409"/>
      <c r="F114" s="406"/>
    </row>
    <row r="115" spans="1:6" ht="12.75">
      <c r="A115" s="419"/>
      <c r="B115" s="410" t="s">
        <v>337</v>
      </c>
      <c r="C115" s="431"/>
      <c r="D115" s="431"/>
      <c r="E115" s="411"/>
      <c r="F115" s="430">
        <f>+F54</f>
        <v>51354801.42000001</v>
      </c>
    </row>
    <row r="116" spans="1:6" ht="12.75">
      <c r="A116" s="420"/>
      <c r="B116" s="409"/>
      <c r="C116" s="422"/>
      <c r="D116" s="409"/>
      <c r="E116" s="409"/>
      <c r="F116" s="406"/>
    </row>
    <row r="117" spans="1:6" ht="12.75">
      <c r="A117" s="408" t="s">
        <v>87</v>
      </c>
      <c r="B117" s="410"/>
      <c r="C117" s="427"/>
      <c r="D117" s="427"/>
      <c r="E117" s="411"/>
      <c r="F117" s="429">
        <f>+F51+F115</f>
        <v>81603116.41999997</v>
      </c>
    </row>
    <row r="118" spans="1:6" ht="12.75">
      <c r="A118" s="404"/>
      <c r="B118" s="411"/>
      <c r="C118" s="425"/>
      <c r="D118" s="425"/>
      <c r="E118" s="409"/>
      <c r="F118" s="409"/>
    </row>
    <row r="119" spans="1:6" ht="12.75">
      <c r="A119" s="408" t="s">
        <v>338</v>
      </c>
      <c r="B119" s="411"/>
      <c r="C119" s="427"/>
      <c r="D119" s="427"/>
      <c r="E119" s="411"/>
      <c r="F119" s="411"/>
    </row>
    <row r="120" spans="1:6" ht="12.75">
      <c r="A120" s="409"/>
      <c r="B120" s="411"/>
      <c r="C120" s="425"/>
      <c r="D120" s="425"/>
      <c r="E120" s="409"/>
      <c r="F120" s="409"/>
    </row>
    <row r="121" spans="1:6" ht="12.75">
      <c r="A121" s="589" t="s">
        <v>88</v>
      </c>
      <c r="B121" s="589"/>
      <c r="C121" s="589"/>
      <c r="D121" s="589"/>
      <c r="E121" s="409"/>
      <c r="F121" s="409"/>
    </row>
    <row r="122" spans="1:6" ht="12.75">
      <c r="A122" s="410"/>
      <c r="B122" s="410" t="s">
        <v>89</v>
      </c>
      <c r="C122" s="410"/>
      <c r="D122" s="410"/>
      <c r="E122" s="409"/>
      <c r="F122" s="409"/>
    </row>
    <row r="123" spans="1:6" ht="12.75">
      <c r="A123" s="419"/>
      <c r="B123" s="410" t="s">
        <v>339</v>
      </c>
      <c r="C123" s="410"/>
      <c r="D123" s="410"/>
      <c r="E123" s="411"/>
      <c r="F123" s="430">
        <f>+F124</f>
        <v>35250</v>
      </c>
    </row>
    <row r="124" spans="1:6" ht="12.75">
      <c r="A124" s="420"/>
      <c r="B124" s="423"/>
      <c r="C124" s="422" t="s">
        <v>340</v>
      </c>
      <c r="D124" s="445"/>
      <c r="E124" s="409"/>
      <c r="F124" s="430">
        <f>+F125</f>
        <v>35250</v>
      </c>
    </row>
    <row r="125" spans="1:6" ht="12.75">
      <c r="A125" s="420"/>
      <c r="B125" s="423"/>
      <c r="C125" s="422"/>
      <c r="D125" s="422" t="s">
        <v>31</v>
      </c>
      <c r="E125" s="409"/>
      <c r="F125" s="412">
        <f>'TB-4th Qtr'!H57</f>
        <v>35250</v>
      </c>
    </row>
    <row r="126" spans="1:6" ht="12.75">
      <c r="A126" s="420"/>
      <c r="B126" s="423"/>
      <c r="C126" s="422"/>
      <c r="D126" s="409"/>
      <c r="E126" s="409"/>
      <c r="F126" s="32"/>
    </row>
    <row r="127" spans="1:6" ht="12.75">
      <c r="A127" s="419"/>
      <c r="B127" s="410" t="s">
        <v>341</v>
      </c>
      <c r="C127" s="431"/>
      <c r="D127" s="410"/>
      <c r="E127" s="411"/>
      <c r="F127" s="430">
        <f>SUM(F128:F135)</f>
        <v>1252313.2100000004</v>
      </c>
    </row>
    <row r="128" spans="1:6" ht="12.75">
      <c r="A128" s="420"/>
      <c r="B128" s="423"/>
      <c r="C128" s="409"/>
      <c r="D128" s="422" t="s">
        <v>46</v>
      </c>
      <c r="E128" s="409"/>
      <c r="F128" s="412">
        <f>'TB-4th Qtr'!H58</f>
        <v>561413.67</v>
      </c>
    </row>
    <row r="129" spans="1:6" ht="12.75">
      <c r="A129" s="420"/>
      <c r="B129" s="423"/>
      <c r="C129" s="409"/>
      <c r="D129" s="501" t="s">
        <v>685</v>
      </c>
      <c r="E129" s="409"/>
      <c r="F129" s="412">
        <f>'TB-4th Qtr'!H59</f>
        <v>611770.92</v>
      </c>
    </row>
    <row r="130" spans="1:6" ht="12.75">
      <c r="A130" s="420"/>
      <c r="B130" s="423"/>
      <c r="C130" s="409"/>
      <c r="D130" s="501" t="s">
        <v>686</v>
      </c>
      <c r="E130" s="409"/>
      <c r="F130" s="412">
        <f>'TB-4th Qtr'!H60</f>
        <v>10448.259999999951</v>
      </c>
    </row>
    <row r="131" spans="1:6" ht="12.75">
      <c r="A131" s="420"/>
      <c r="B131" s="423"/>
      <c r="C131" s="409"/>
      <c r="D131" s="501" t="s">
        <v>687</v>
      </c>
      <c r="E131" s="409"/>
      <c r="F131" s="412">
        <f>'TB-4th Qtr'!H61</f>
        <v>11777.859999999993</v>
      </c>
    </row>
    <row r="132" spans="1:6" ht="12.75">
      <c r="A132" s="420"/>
      <c r="B132" s="423"/>
      <c r="C132" s="409"/>
      <c r="D132" s="322" t="s">
        <v>690</v>
      </c>
      <c r="E132" s="409"/>
      <c r="F132" s="412">
        <f>'TB-4th Qtr'!H62</f>
        <v>5626.36</v>
      </c>
    </row>
    <row r="133" spans="1:6" ht="12.75">
      <c r="A133" s="420"/>
      <c r="B133" s="423"/>
      <c r="C133" s="409"/>
      <c r="D133" s="322" t="s">
        <v>691</v>
      </c>
      <c r="E133" s="409"/>
      <c r="F133" s="412">
        <f>'TB-4th Qtr'!H63</f>
        <v>2084.6699999999996</v>
      </c>
    </row>
    <row r="134" spans="1:6" ht="12.75">
      <c r="A134" s="420"/>
      <c r="B134" s="423"/>
      <c r="C134" s="409"/>
      <c r="D134" s="422" t="s">
        <v>343</v>
      </c>
      <c r="E134" s="409"/>
      <c r="F134" s="412">
        <f>'TB-4th Qtr'!H64</f>
        <v>16735.800000000007</v>
      </c>
    </row>
    <row r="135" spans="1:6" ht="12.75">
      <c r="A135" s="420"/>
      <c r="B135" s="423"/>
      <c r="C135" s="409"/>
      <c r="D135" s="422" t="s">
        <v>59</v>
      </c>
      <c r="E135" s="409"/>
      <c r="F135" s="412">
        <f>'TB-4th Qtr'!H65</f>
        <v>32455.670000000056</v>
      </c>
    </row>
    <row r="136" spans="1:6" ht="12.75">
      <c r="A136" s="420"/>
      <c r="B136" s="423"/>
      <c r="C136" s="409"/>
      <c r="D136" s="409"/>
      <c r="E136" s="409"/>
      <c r="F136" s="32"/>
    </row>
    <row r="137" spans="1:6" ht="12.75">
      <c r="A137" s="419"/>
      <c r="B137" s="410" t="s">
        <v>17</v>
      </c>
      <c r="C137" s="427"/>
      <c r="D137" s="431"/>
      <c r="E137" s="411"/>
      <c r="F137" s="430">
        <f>+F138</f>
        <v>469526.4</v>
      </c>
    </row>
    <row r="138" spans="1:6" ht="12.75">
      <c r="A138" s="420"/>
      <c r="B138" s="422"/>
      <c r="C138" s="368" t="s">
        <v>17</v>
      </c>
      <c r="D138" s="409"/>
      <c r="E138" s="409"/>
      <c r="F138" s="430">
        <f>'TB-4th Qtr'!H66</f>
        <v>469526.4</v>
      </c>
    </row>
    <row r="139" spans="1:6" ht="12.75">
      <c r="A139" s="420"/>
      <c r="B139" s="422"/>
      <c r="C139" s="409"/>
      <c r="D139" s="409"/>
      <c r="E139" s="409"/>
      <c r="F139" s="406"/>
    </row>
    <row r="140" spans="1:6" ht="12.75">
      <c r="A140" s="420"/>
      <c r="B140" s="410" t="s">
        <v>347</v>
      </c>
      <c r="C140" s="409"/>
      <c r="D140" s="368"/>
      <c r="E140" s="409"/>
      <c r="F140" s="430">
        <f>+F123+F127+F137</f>
        <v>1757089.6100000003</v>
      </c>
    </row>
    <row r="141" spans="1:6" ht="12.75">
      <c r="A141" s="420"/>
      <c r="B141" s="368"/>
      <c r="C141" s="409"/>
      <c r="D141" s="368"/>
      <c r="E141" s="409"/>
      <c r="F141" s="32"/>
    </row>
    <row r="142" spans="1:6" ht="12.75">
      <c r="A142" s="419"/>
      <c r="B142" s="431" t="s">
        <v>348</v>
      </c>
      <c r="C142" s="411"/>
      <c r="D142" s="410"/>
      <c r="E142" s="411"/>
      <c r="F142" s="430">
        <f>+F140</f>
        <v>1757089.6100000003</v>
      </c>
    </row>
    <row r="143" spans="1:6" ht="12.75">
      <c r="A143" s="420"/>
      <c r="B143" s="422"/>
      <c r="C143" s="415"/>
      <c r="D143" s="368"/>
      <c r="E143" s="409"/>
      <c r="F143" s="32"/>
    </row>
    <row r="144" spans="1:6" ht="13.5" thickBot="1">
      <c r="A144" s="433" t="s">
        <v>349</v>
      </c>
      <c r="B144" s="431"/>
      <c r="C144" s="415"/>
      <c r="D144" s="368"/>
      <c r="E144" s="409"/>
      <c r="F144" s="453">
        <f>+F117-F142</f>
        <v>79846026.80999997</v>
      </c>
    </row>
    <row r="145" spans="1:6" ht="13.5" thickTop="1">
      <c r="A145" s="420"/>
      <c r="B145" s="422"/>
      <c r="C145" s="415"/>
      <c r="D145" s="368"/>
      <c r="E145" s="409"/>
      <c r="F145" s="409"/>
    </row>
    <row r="146" spans="1:6" ht="12.75">
      <c r="A146" s="408" t="s">
        <v>350</v>
      </c>
      <c r="B146" s="409"/>
      <c r="C146" s="435"/>
      <c r="D146" s="435"/>
      <c r="E146" s="409"/>
      <c r="F146" s="409"/>
    </row>
    <row r="147" spans="1:6" ht="12.75">
      <c r="A147" s="409"/>
      <c r="B147" s="410" t="s">
        <v>90</v>
      </c>
      <c r="C147" s="435"/>
      <c r="D147" s="435"/>
      <c r="E147" s="409"/>
      <c r="F147" s="409"/>
    </row>
    <row r="148" spans="1:6" ht="12.75">
      <c r="A148" s="419"/>
      <c r="B148" s="431"/>
      <c r="C148" s="410" t="s">
        <v>18</v>
      </c>
      <c r="D148" s="410"/>
      <c r="E148" s="411"/>
      <c r="F148" s="430">
        <f>+F149</f>
        <v>79846026.81</v>
      </c>
    </row>
    <row r="149" spans="1:6" ht="12.75">
      <c r="A149" s="420"/>
      <c r="B149" s="368"/>
      <c r="C149" s="409"/>
      <c r="D149" s="368" t="s">
        <v>351</v>
      </c>
      <c r="E149" s="409"/>
      <c r="F149" s="412">
        <f>'TB-4th Qtr'!H69</f>
        <v>79846026.81</v>
      </c>
    </row>
    <row r="150" spans="1:6" ht="12.75">
      <c r="A150" s="419"/>
      <c r="B150" s="431"/>
      <c r="C150" s="410" t="s">
        <v>352</v>
      </c>
      <c r="D150" s="410"/>
      <c r="E150" s="411"/>
      <c r="F150" s="430">
        <f>+F151</f>
        <v>0</v>
      </c>
    </row>
    <row r="151" spans="1:6" ht="12.75">
      <c r="A151" s="420"/>
      <c r="B151" s="368"/>
      <c r="C151" s="409"/>
      <c r="D151" s="368" t="s">
        <v>353</v>
      </c>
      <c r="E151" s="409"/>
      <c r="F151" s="412">
        <v>0</v>
      </c>
    </row>
    <row r="152" spans="1:6" ht="12.75">
      <c r="A152" s="420"/>
      <c r="B152" s="368"/>
      <c r="C152" s="409"/>
      <c r="D152" s="368"/>
      <c r="E152" s="409"/>
      <c r="F152" s="32"/>
    </row>
    <row r="153" spans="1:6" ht="13.5" thickBot="1">
      <c r="A153" s="431" t="s">
        <v>354</v>
      </c>
      <c r="B153" s="409"/>
      <c r="C153" s="415"/>
      <c r="D153" s="368"/>
      <c r="E153" s="409"/>
      <c r="F153" s="453">
        <f>F144-F148</f>
        <v>0</v>
      </c>
    </row>
    <row r="154" spans="1:6" ht="13.5" thickTop="1">
      <c r="A154" s="420"/>
      <c r="B154" s="431"/>
      <c r="C154" s="415"/>
      <c r="D154" s="368"/>
      <c r="E154" s="409"/>
      <c r="F154" s="404"/>
    </row>
    <row r="155" ht="12.75">
      <c r="F155" s="94"/>
    </row>
    <row r="157" spans="1:5" ht="12.75">
      <c r="A157" s="16" t="s">
        <v>25</v>
      </c>
      <c r="B157" s="77"/>
      <c r="E157" s="1" t="s">
        <v>55</v>
      </c>
    </row>
    <row r="158" spans="1:5" ht="12.75">
      <c r="A158" s="16"/>
      <c r="B158" s="77"/>
      <c r="C158" s="99"/>
      <c r="E158" s="99"/>
    </row>
    <row r="159" spans="1:5" ht="12.75">
      <c r="A159" s="16"/>
      <c r="B159" s="77"/>
      <c r="C159" s="100"/>
      <c r="E159" s="100"/>
    </row>
    <row r="160" spans="1:5" ht="12.75">
      <c r="A160" s="17" t="s">
        <v>658</v>
      </c>
      <c r="B160" s="77"/>
      <c r="C160" s="20"/>
      <c r="E160" s="20" t="s">
        <v>815</v>
      </c>
    </row>
    <row r="161" spans="1:5" ht="12.75">
      <c r="A161" s="16" t="s">
        <v>662</v>
      </c>
      <c r="B161" s="77"/>
      <c r="E161" s="1" t="s">
        <v>224</v>
      </c>
    </row>
  </sheetData>
  <sheetProtection/>
  <mergeCells count="5">
    <mergeCell ref="A1:F1"/>
    <mergeCell ref="A2:F2"/>
    <mergeCell ref="A3:F3"/>
    <mergeCell ref="A4:F4"/>
    <mergeCell ref="A121:D121"/>
  </mergeCells>
  <printOptions/>
  <pageMargins left="0.7" right="0.7" top="0.75" bottom="0.75" header="0.3" footer="0.3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5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10" width="17.7109375" style="30" customWidth="1"/>
    <col min="11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583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228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748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545" t="s">
        <v>5</v>
      </c>
      <c r="B10" s="470" t="s">
        <v>4</v>
      </c>
      <c r="C10" s="538" t="s">
        <v>749</v>
      </c>
      <c r="D10" s="539"/>
      <c r="E10" s="537" t="s">
        <v>49</v>
      </c>
      <c r="F10" s="537"/>
      <c r="G10" s="538" t="s">
        <v>54</v>
      </c>
      <c r="H10" s="539"/>
      <c r="I10" s="537" t="s">
        <v>48</v>
      </c>
      <c r="J10" s="537"/>
      <c r="K10" s="538" t="s">
        <v>57</v>
      </c>
      <c r="L10" s="539"/>
      <c r="M10" s="538" t="s">
        <v>50</v>
      </c>
      <c r="N10" s="537"/>
      <c r="O10" s="543" t="s">
        <v>7</v>
      </c>
      <c r="P10" s="541" t="s">
        <v>8</v>
      </c>
    </row>
    <row r="11" spans="1:16" ht="16.5" thickBot="1">
      <c r="A11" s="546"/>
      <c r="B11" s="266" t="s">
        <v>6</v>
      </c>
      <c r="C11" s="105" t="s">
        <v>7</v>
      </c>
      <c r="D11" s="106" t="s">
        <v>8</v>
      </c>
      <c r="E11" s="118" t="s">
        <v>7</v>
      </c>
      <c r="F11" s="117" t="s">
        <v>8</v>
      </c>
      <c r="G11" s="105" t="s">
        <v>7</v>
      </c>
      <c r="H11" s="106" t="s">
        <v>8</v>
      </c>
      <c r="I11" s="118" t="s">
        <v>7</v>
      </c>
      <c r="J11" s="117" t="s">
        <v>8</v>
      </c>
      <c r="K11" s="105" t="s">
        <v>7</v>
      </c>
      <c r="L11" s="106" t="s">
        <v>8</v>
      </c>
      <c r="M11" s="105" t="s">
        <v>7</v>
      </c>
      <c r="N11" s="117" t="s">
        <v>8</v>
      </c>
      <c r="O11" s="544"/>
      <c r="P11" s="542"/>
    </row>
    <row r="12" spans="1:16" ht="13.5" customHeight="1">
      <c r="A12" s="469"/>
      <c r="B12" s="470"/>
      <c r="C12" s="469"/>
      <c r="D12" s="70"/>
      <c r="E12" s="111"/>
      <c r="F12" s="35"/>
      <c r="G12" s="469"/>
      <c r="H12" s="70"/>
      <c r="I12" s="111"/>
      <c r="J12" s="35"/>
      <c r="K12" s="469"/>
      <c r="L12" s="70"/>
      <c r="M12" s="469"/>
      <c r="N12" s="35"/>
      <c r="O12" s="267"/>
      <c r="P12" s="116"/>
    </row>
    <row r="13" spans="1:16" ht="12.75" customHeight="1">
      <c r="A13" s="4" t="s">
        <v>9</v>
      </c>
      <c r="B13" s="261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20"/>
      <c r="P13" s="115"/>
    </row>
    <row r="14" spans="1:16" ht="12.75">
      <c r="A14" s="102" t="s">
        <v>678</v>
      </c>
      <c r="B14" s="506" t="s">
        <v>679</v>
      </c>
      <c r="C14" s="107">
        <f>Feb20!O14</f>
        <v>0</v>
      </c>
      <c r="D14" s="10">
        <f>Feb20!P14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21">
        <f>C14+E14+I14+M14-D14-F14-J14-N14+G14-H14+K14-L14</f>
        <v>0</v>
      </c>
      <c r="P14" s="22"/>
    </row>
    <row r="15" spans="1:16" ht="12.75">
      <c r="A15" s="49" t="s">
        <v>101</v>
      </c>
      <c r="B15" s="506" t="s">
        <v>100</v>
      </c>
      <c r="C15" s="107">
        <f>Feb20!O15</f>
        <v>35000</v>
      </c>
      <c r="D15" s="10">
        <f>Feb20!P15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21">
        <f aca="true" t="shared" si="0" ref="O15:O91">C15+E15+I15+M15-D15-F15-J15-N15+G15-H15+K15-L15</f>
        <v>35000</v>
      </c>
      <c r="P15" s="22"/>
    </row>
    <row r="16" spans="1:16" s="29" customFormat="1" ht="12.75">
      <c r="A16" s="49" t="s">
        <v>589</v>
      </c>
      <c r="B16" s="506" t="s">
        <v>230</v>
      </c>
      <c r="C16" s="107">
        <f>Feb20!O16</f>
        <v>333912.42</v>
      </c>
      <c r="D16" s="10">
        <f>Feb20!P16:P16</f>
        <v>0</v>
      </c>
      <c r="E16" s="6"/>
      <c r="F16" s="47"/>
      <c r="G16" s="13"/>
      <c r="H16" s="46"/>
      <c r="I16" s="6"/>
      <c r="J16" s="47"/>
      <c r="K16" s="13"/>
      <c r="L16" s="46"/>
      <c r="M16" s="13"/>
      <c r="N16" s="323"/>
      <c r="O16" s="121">
        <f t="shared" si="0"/>
        <v>333912.42</v>
      </c>
      <c r="P16" s="22"/>
    </row>
    <row r="17" spans="1:16" s="29" customFormat="1" ht="12.75">
      <c r="A17" s="49" t="s">
        <v>636</v>
      </c>
      <c r="B17" s="506" t="s">
        <v>590</v>
      </c>
      <c r="C17" s="107">
        <f>Feb20!O17</f>
        <v>0</v>
      </c>
      <c r="D17" s="10">
        <f>Feb20!P17</f>
        <v>0</v>
      </c>
      <c r="E17" s="9"/>
      <c r="F17" s="11"/>
      <c r="G17" s="14"/>
      <c r="H17" s="46"/>
      <c r="I17" s="9"/>
      <c r="J17" s="47"/>
      <c r="K17" s="14"/>
      <c r="L17" s="46"/>
      <c r="M17" s="14"/>
      <c r="N17" s="51"/>
      <c r="O17" s="121">
        <f t="shared" si="0"/>
        <v>0</v>
      </c>
      <c r="P17" s="22"/>
    </row>
    <row r="18" spans="1:16" s="29" customFormat="1" ht="12.75">
      <c r="A18" s="49" t="s">
        <v>103</v>
      </c>
      <c r="B18" s="506" t="s">
        <v>102</v>
      </c>
      <c r="C18" s="107">
        <f>Feb20!O18</f>
        <v>23902544.02</v>
      </c>
      <c r="D18" s="10">
        <f>Feb20!P18</f>
        <v>0</v>
      </c>
      <c r="E18" s="9"/>
      <c r="F18" s="51">
        <v>40234772.02</v>
      </c>
      <c r="G18" s="14"/>
      <c r="H18" s="46"/>
      <c r="I18" s="9"/>
      <c r="J18" s="51"/>
      <c r="K18" s="14"/>
      <c r="L18" s="51"/>
      <c r="M18" s="14">
        <f>16366428</f>
        <v>16366428</v>
      </c>
      <c r="N18" s="51"/>
      <c r="O18" s="121">
        <f t="shared" si="0"/>
        <v>34199.99999999255</v>
      </c>
      <c r="P18" s="22"/>
    </row>
    <row r="19" spans="1:16" s="29" customFormat="1" ht="12.75">
      <c r="A19" s="49" t="s">
        <v>10</v>
      </c>
      <c r="B19" s="506" t="s">
        <v>104</v>
      </c>
      <c r="C19" s="107">
        <f>Feb20!O19</f>
        <v>13215528.9</v>
      </c>
      <c r="D19" s="10">
        <f>Feb20!P19:P19</f>
        <v>0</v>
      </c>
      <c r="E19" s="9"/>
      <c r="F19" s="51"/>
      <c r="G19" s="14"/>
      <c r="H19" s="46"/>
      <c r="I19" s="9"/>
      <c r="J19" s="51"/>
      <c r="K19" s="14"/>
      <c r="L19" s="10">
        <v>697916.25</v>
      </c>
      <c r="M19" s="14"/>
      <c r="N19" s="51"/>
      <c r="O19" s="121">
        <f t="shared" si="0"/>
        <v>12517612.65</v>
      </c>
      <c r="P19" s="22"/>
    </row>
    <row r="20" spans="1:16" s="29" customFormat="1" ht="12.75">
      <c r="A20" s="49" t="s">
        <v>567</v>
      </c>
      <c r="B20" s="506" t="s">
        <v>568</v>
      </c>
      <c r="C20" s="107">
        <f>Feb20!O20</f>
        <v>29253808.29</v>
      </c>
      <c r="D20" s="10">
        <f>Feb20!P20</f>
        <v>0</v>
      </c>
      <c r="E20" s="9"/>
      <c r="F20" s="51"/>
      <c r="G20" s="14"/>
      <c r="H20" s="46"/>
      <c r="I20" s="9"/>
      <c r="J20" s="51"/>
      <c r="K20" s="14"/>
      <c r="L20" s="10"/>
      <c r="M20" s="14"/>
      <c r="N20" s="51">
        <v>7338750</v>
      </c>
      <c r="O20" s="121">
        <f t="shared" si="0"/>
        <v>21915058.29</v>
      </c>
      <c r="P20" s="22"/>
    </row>
    <row r="21" spans="1:16" s="29" customFormat="1" ht="12.75">
      <c r="A21" s="49" t="s">
        <v>734</v>
      </c>
      <c r="B21" s="506" t="s">
        <v>735</v>
      </c>
      <c r="C21" s="107">
        <f>Feb20!O21</f>
        <v>497000</v>
      </c>
      <c r="D21" s="10">
        <f>Feb20!P21</f>
        <v>0</v>
      </c>
      <c r="E21" s="9"/>
      <c r="F21" s="51"/>
      <c r="G21" s="14"/>
      <c r="H21" s="46"/>
      <c r="I21" s="9"/>
      <c r="J21" s="51"/>
      <c r="K21" s="14"/>
      <c r="L21" s="10"/>
      <c r="M21" s="14"/>
      <c r="N21" s="51"/>
      <c r="O21" s="121">
        <f t="shared" si="0"/>
        <v>497000</v>
      </c>
      <c r="P21" s="22"/>
    </row>
    <row r="22" spans="1:16" s="29" customFormat="1" ht="12.75">
      <c r="A22" s="49" t="s">
        <v>11</v>
      </c>
      <c r="B22" s="506" t="s">
        <v>105</v>
      </c>
      <c r="C22" s="107">
        <f>Feb20!O22</f>
        <v>30162.22</v>
      </c>
      <c r="D22" s="10">
        <f>Feb20!P22:P22</f>
        <v>0</v>
      </c>
      <c r="E22" s="9">
        <v>16500</v>
      </c>
      <c r="F22" s="52"/>
      <c r="G22" s="14"/>
      <c r="H22" s="53"/>
      <c r="I22" s="9"/>
      <c r="J22" s="52"/>
      <c r="K22" s="14"/>
      <c r="L22" s="53"/>
      <c r="M22" s="14"/>
      <c r="N22" s="52"/>
      <c r="O22" s="121">
        <f t="shared" si="0"/>
        <v>46662.22</v>
      </c>
      <c r="P22" s="122"/>
    </row>
    <row r="23" spans="1:16" s="29" customFormat="1" ht="12.75">
      <c r="A23" s="74" t="s">
        <v>108</v>
      </c>
      <c r="B23" s="507" t="s">
        <v>106</v>
      </c>
      <c r="C23" s="107">
        <f>Feb20!O23</f>
        <v>0</v>
      </c>
      <c r="D23" s="10">
        <f>Feb20!P23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121">
        <f t="shared" si="0"/>
        <v>0</v>
      </c>
      <c r="P23" s="122"/>
    </row>
    <row r="24" spans="1:16" s="29" customFormat="1" ht="12.75">
      <c r="A24" s="49" t="s">
        <v>109</v>
      </c>
      <c r="B24" s="506" t="s">
        <v>107</v>
      </c>
      <c r="C24" s="107">
        <f>Feb20!O24</f>
        <v>0</v>
      </c>
      <c r="D24" s="10">
        <f>Feb20!P24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21">
        <f t="shared" si="0"/>
        <v>0</v>
      </c>
      <c r="P24" s="122"/>
    </row>
    <row r="25" spans="1:16" s="29" customFormat="1" ht="12.75">
      <c r="A25" s="49" t="s">
        <v>239</v>
      </c>
      <c r="B25" s="506" t="s">
        <v>240</v>
      </c>
      <c r="C25" s="107">
        <f>Feb20!O25</f>
        <v>0</v>
      </c>
      <c r="D25" s="10">
        <f>Feb20!P25:P25</f>
        <v>0</v>
      </c>
      <c r="E25" s="9"/>
      <c r="F25" s="52"/>
      <c r="G25" s="14"/>
      <c r="H25" s="53"/>
      <c r="I25" s="9"/>
      <c r="J25" s="52"/>
      <c r="K25" s="14"/>
      <c r="L25" s="53"/>
      <c r="M25" s="14"/>
      <c r="N25" s="52"/>
      <c r="O25" s="121">
        <f t="shared" si="0"/>
        <v>0</v>
      </c>
      <c r="P25" s="122"/>
    </row>
    <row r="26" spans="1:16" s="29" customFormat="1" ht="12.75">
      <c r="A26" s="49" t="s">
        <v>238</v>
      </c>
      <c r="B26" s="506" t="s">
        <v>231</v>
      </c>
      <c r="C26" s="107">
        <f>Feb20!O26</f>
        <v>0</v>
      </c>
      <c r="D26" s="10">
        <f>Feb20!P26</f>
        <v>0</v>
      </c>
      <c r="E26" s="9"/>
      <c r="F26" s="52"/>
      <c r="G26" s="14"/>
      <c r="H26" s="53"/>
      <c r="I26" s="9"/>
      <c r="J26" s="52"/>
      <c r="K26" s="14"/>
      <c r="L26" s="53"/>
      <c r="M26" s="14"/>
      <c r="N26" s="52"/>
      <c r="O26" s="121">
        <f t="shared" si="0"/>
        <v>0</v>
      </c>
      <c r="P26" s="122"/>
    </row>
    <row r="27" spans="1:16" s="29" customFormat="1" ht="12.75">
      <c r="A27" s="49" t="s">
        <v>534</v>
      </c>
      <c r="B27" s="506" t="s">
        <v>526</v>
      </c>
      <c r="C27" s="107">
        <f>Feb20!O27</f>
        <v>0</v>
      </c>
      <c r="D27" s="10">
        <f>Feb20!P27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21">
        <f t="shared" si="0"/>
        <v>0</v>
      </c>
      <c r="P27" s="122"/>
    </row>
    <row r="28" spans="1:16" s="29" customFormat="1" ht="12.75">
      <c r="A28" s="49" t="s">
        <v>732</v>
      </c>
      <c r="B28" s="506" t="s">
        <v>520</v>
      </c>
      <c r="C28" s="107">
        <f>Feb20!O28</f>
        <v>0</v>
      </c>
      <c r="D28" s="10">
        <f>Feb20!P28:P28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21">
        <f t="shared" si="0"/>
        <v>0</v>
      </c>
      <c r="P28" s="122"/>
    </row>
    <row r="29" spans="1:16" s="29" customFormat="1" ht="12.75">
      <c r="A29" s="49" t="s">
        <v>213</v>
      </c>
      <c r="B29" s="506" t="s">
        <v>209</v>
      </c>
      <c r="C29" s="107">
        <f>Feb20!O29</f>
        <v>0</v>
      </c>
      <c r="D29" s="10">
        <f>Feb20!P29</f>
        <v>0</v>
      </c>
      <c r="E29" s="9">
        <v>3060</v>
      </c>
      <c r="F29" s="52"/>
      <c r="G29" s="14"/>
      <c r="H29" s="98"/>
      <c r="I29" s="9"/>
      <c r="J29" s="52"/>
      <c r="K29" s="14"/>
      <c r="L29" s="53"/>
      <c r="M29" s="14"/>
      <c r="N29" s="52"/>
      <c r="O29" s="121">
        <f t="shared" si="0"/>
        <v>3060</v>
      </c>
      <c r="P29" s="122"/>
    </row>
    <row r="30" spans="1:16" s="29" customFormat="1" ht="12.75">
      <c r="A30" s="49" t="s">
        <v>201</v>
      </c>
      <c r="B30" s="506" t="s">
        <v>200</v>
      </c>
      <c r="C30" s="107">
        <f>Feb20!O30</f>
        <v>0</v>
      </c>
      <c r="D30" s="10">
        <f>Feb20!P30</f>
        <v>0</v>
      </c>
      <c r="E30" s="9"/>
      <c r="F30" s="52"/>
      <c r="G30" s="14"/>
      <c r="H30" s="98"/>
      <c r="I30" s="9"/>
      <c r="J30" s="52"/>
      <c r="K30" s="14"/>
      <c r="L30" s="53"/>
      <c r="M30" s="14"/>
      <c r="N30" s="52"/>
      <c r="O30" s="121">
        <f t="shared" si="0"/>
        <v>0</v>
      </c>
      <c r="P30" s="122"/>
    </row>
    <row r="31" spans="1:16" s="29" customFormat="1" ht="12.75">
      <c r="A31" s="49" t="s">
        <v>202</v>
      </c>
      <c r="B31" s="506" t="s">
        <v>203</v>
      </c>
      <c r="C31" s="107">
        <f>Feb20!O31</f>
        <v>12298</v>
      </c>
      <c r="D31" s="10">
        <f>Feb20!P31:P31</f>
        <v>0</v>
      </c>
      <c r="E31" s="9"/>
      <c r="F31" s="52">
        <v>12298</v>
      </c>
      <c r="G31" s="14"/>
      <c r="H31" s="53"/>
      <c r="I31" s="9"/>
      <c r="J31" s="52"/>
      <c r="K31" s="14"/>
      <c r="L31" s="53"/>
      <c r="M31" s="14"/>
      <c r="N31" s="52"/>
      <c r="O31" s="121">
        <f t="shared" si="0"/>
        <v>0</v>
      </c>
      <c r="P31" s="122"/>
    </row>
    <row r="32" spans="1:16" s="29" customFormat="1" ht="12.75">
      <c r="A32" s="49" t="s">
        <v>727</v>
      </c>
      <c r="B32" s="506" t="s">
        <v>728</v>
      </c>
      <c r="C32" s="107">
        <f>Feb20!O32</f>
        <v>14774544.07</v>
      </c>
      <c r="D32" s="10">
        <f>Feb20!P32</f>
        <v>0</v>
      </c>
      <c r="E32" s="9"/>
      <c r="F32" s="52"/>
      <c r="G32" s="14"/>
      <c r="H32" s="53"/>
      <c r="I32" s="9"/>
      <c r="J32" s="52"/>
      <c r="K32" s="27">
        <v>697916.25</v>
      </c>
      <c r="L32" s="53"/>
      <c r="M32" s="14"/>
      <c r="N32" s="52"/>
      <c r="O32" s="121">
        <f t="shared" si="0"/>
        <v>15472460.32</v>
      </c>
      <c r="P32" s="122"/>
    </row>
    <row r="33" spans="1:16" s="29" customFormat="1" ht="12.75">
      <c r="A33" s="49" t="s">
        <v>12</v>
      </c>
      <c r="B33" s="506" t="s">
        <v>111</v>
      </c>
      <c r="C33" s="107">
        <f>Feb20!O33</f>
        <v>1208049.99</v>
      </c>
      <c r="D33" s="10">
        <f>Feb20!P33</f>
        <v>0</v>
      </c>
      <c r="E33" s="9"/>
      <c r="F33" s="52"/>
      <c r="G33" s="14"/>
      <c r="H33" s="53"/>
      <c r="I33" s="9"/>
      <c r="J33" s="52"/>
      <c r="K33" s="14"/>
      <c r="L33" s="53"/>
      <c r="M33" s="14"/>
      <c r="N33" s="52"/>
      <c r="O33" s="121">
        <f t="shared" si="0"/>
        <v>1208049.99</v>
      </c>
      <c r="P33" s="122">
        <f>D33+F33+J33+N33+H33-E33-G33-I33-M33+L33-K33</f>
        <v>0</v>
      </c>
    </row>
    <row r="34" spans="1:16" s="29" customFormat="1" ht="12.75">
      <c r="A34" s="49" t="s">
        <v>120</v>
      </c>
      <c r="B34" s="506" t="s">
        <v>112</v>
      </c>
      <c r="C34" s="107">
        <f>Feb20!O34</f>
        <v>0</v>
      </c>
      <c r="D34" s="10">
        <f>Feb20!P34:P34</f>
        <v>364327.7</v>
      </c>
      <c r="E34" s="9"/>
      <c r="F34" s="52"/>
      <c r="G34" s="14"/>
      <c r="H34" s="53"/>
      <c r="I34" s="9"/>
      <c r="J34" s="52"/>
      <c r="K34" s="14"/>
      <c r="L34" s="53"/>
      <c r="M34" s="14"/>
      <c r="N34" s="52"/>
      <c r="O34" s="121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506" t="s">
        <v>113</v>
      </c>
      <c r="C35" s="107">
        <f>Feb20!O35</f>
        <v>718378</v>
      </c>
      <c r="D35" s="10">
        <f>Feb20!P35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52"/>
      <c r="O35" s="121">
        <f t="shared" si="0"/>
        <v>718378</v>
      </c>
      <c r="P35" s="122">
        <f>D35+F35+J35+N35+H35-E35-G35-I35-M35+L35-K35</f>
        <v>0</v>
      </c>
    </row>
    <row r="36" spans="1:16" s="29" customFormat="1" ht="12.75">
      <c r="A36" s="49" t="s">
        <v>115</v>
      </c>
      <c r="B36" s="506" t="s">
        <v>121</v>
      </c>
      <c r="C36" s="107">
        <f>Feb20!O36</f>
        <v>0</v>
      </c>
      <c r="D36" s="10">
        <f>Feb20!P36</f>
        <v>422310.89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21"/>
      <c r="P36" s="122">
        <f>D36+F36+J36+N36+H36-E36-G36-I36-M36+L36-K36</f>
        <v>422310.89</v>
      </c>
    </row>
    <row r="37" spans="1:16" s="29" customFormat="1" ht="12.75">
      <c r="A37" s="49" t="s">
        <v>780</v>
      </c>
      <c r="B37" s="262" t="s">
        <v>778</v>
      </c>
      <c r="C37" s="107">
        <f>Feb20!O37</f>
        <v>0</v>
      </c>
      <c r="D37" s="10">
        <f>Feb20!P37:P37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121">
        <f t="shared" si="0"/>
        <v>0</v>
      </c>
      <c r="P37" s="122"/>
    </row>
    <row r="38" spans="1:16" s="29" customFormat="1" ht="12.75">
      <c r="A38" s="49" t="s">
        <v>781</v>
      </c>
      <c r="B38" s="262" t="s">
        <v>779</v>
      </c>
      <c r="C38" s="107">
        <f>Feb20!O38</f>
        <v>0</v>
      </c>
      <c r="D38" s="10">
        <f>Feb20!P38</f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121"/>
      <c r="P38" s="122">
        <f>D38+F38+J38+N38+H38-E38-G38-I38-M38+L38-K38</f>
        <v>0</v>
      </c>
    </row>
    <row r="39" spans="1:16" s="29" customFormat="1" ht="12.75">
      <c r="A39" s="49" t="s">
        <v>782</v>
      </c>
      <c r="B39" s="262" t="s">
        <v>783</v>
      </c>
      <c r="C39" s="107">
        <f>Feb20!O39</f>
        <v>0</v>
      </c>
      <c r="D39" s="10">
        <f>Feb20!P39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21">
        <f t="shared" si="0"/>
        <v>0</v>
      </c>
      <c r="P39" s="122"/>
    </row>
    <row r="40" spans="1:16" s="29" customFormat="1" ht="12.75">
      <c r="A40" s="49" t="s">
        <v>784</v>
      </c>
      <c r="B40" s="262" t="s">
        <v>785</v>
      </c>
      <c r="C40" s="107">
        <f>Feb20!O40</f>
        <v>0</v>
      </c>
      <c r="D40" s="10">
        <f>Feb20!P40:P40</f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21"/>
      <c r="P40" s="122">
        <f>D40+F40+J40+N40+H40-E40-G40-I40-M40+L40-K40</f>
        <v>0</v>
      </c>
    </row>
    <row r="41" spans="1:16" s="29" customFormat="1" ht="12.75">
      <c r="A41" s="49" t="s">
        <v>786</v>
      </c>
      <c r="B41" s="262" t="s">
        <v>788</v>
      </c>
      <c r="C41" s="107"/>
      <c r="D41" s="10"/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121"/>
      <c r="P41" s="122"/>
    </row>
    <row r="42" spans="1:16" s="29" customFormat="1" ht="12.75">
      <c r="A42" s="49" t="s">
        <v>787</v>
      </c>
      <c r="B42" s="262" t="s">
        <v>789</v>
      </c>
      <c r="C42" s="107"/>
      <c r="D42" s="10"/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21"/>
      <c r="P42" s="122"/>
    </row>
    <row r="43" spans="1:16" s="29" customFormat="1" ht="12.75">
      <c r="A43" s="49" t="s">
        <v>530</v>
      </c>
      <c r="B43" s="506" t="s">
        <v>533</v>
      </c>
      <c r="C43" s="107">
        <f>Feb20!O43</f>
        <v>40622</v>
      </c>
      <c r="D43" s="10">
        <f>Feb20!P43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21">
        <f t="shared" si="0"/>
        <v>40622</v>
      </c>
      <c r="P43" s="122"/>
    </row>
    <row r="44" spans="1:16" s="29" customFormat="1" ht="12.75">
      <c r="A44" s="49" t="s">
        <v>531</v>
      </c>
      <c r="B44" s="506" t="s">
        <v>532</v>
      </c>
      <c r="C44" s="107">
        <f>Feb20!O44</f>
        <v>0</v>
      </c>
      <c r="D44" s="10">
        <f>Feb20!P44</f>
        <v>9647.73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21"/>
      <c r="P44" s="122">
        <f>D44+F44+J44+N44+H44-E44-G44-I44-M44+L44-K44</f>
        <v>9647.73</v>
      </c>
    </row>
    <row r="45" spans="1:16" s="29" customFormat="1" ht="12.75">
      <c r="A45" s="49" t="s">
        <v>128</v>
      </c>
      <c r="B45" s="506" t="s">
        <v>130</v>
      </c>
      <c r="C45" s="107">
        <f>Feb20!O45</f>
        <v>545970</v>
      </c>
      <c r="D45" s="10">
        <f>Feb20!P45:P45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121">
        <f t="shared" si="0"/>
        <v>545970</v>
      </c>
      <c r="P45" s="122"/>
    </row>
    <row r="46" spans="1:16" s="29" customFormat="1" ht="12.75">
      <c r="A46" s="49" t="s">
        <v>129</v>
      </c>
      <c r="B46" s="506" t="s">
        <v>131</v>
      </c>
      <c r="C46" s="107">
        <f>Feb20!O46</f>
        <v>0</v>
      </c>
      <c r="D46" s="10">
        <f>Feb20!P46</f>
        <v>370243.56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121"/>
      <c r="P46" s="122">
        <f>D46+F46+J46+N46+H46-E46-G46-I46-M46+L46-K46</f>
        <v>370243.56</v>
      </c>
    </row>
    <row r="47" spans="1:16" s="29" customFormat="1" ht="12.75">
      <c r="A47" s="49" t="s">
        <v>41</v>
      </c>
      <c r="B47" s="506" t="s">
        <v>126</v>
      </c>
      <c r="C47" s="107">
        <f>Feb20!O47</f>
        <v>2391000</v>
      </c>
      <c r="D47" s="10">
        <f>Feb20!P47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21">
        <f t="shared" si="0"/>
        <v>2391000</v>
      </c>
      <c r="P47" s="122"/>
    </row>
    <row r="48" spans="1:16" s="29" customFormat="1" ht="12.75">
      <c r="A48" s="49" t="s">
        <v>42</v>
      </c>
      <c r="B48" s="506" t="s">
        <v>127</v>
      </c>
      <c r="C48" s="107">
        <f>Feb20!O48</f>
        <v>0</v>
      </c>
      <c r="D48" s="10">
        <f>Feb20!P48:P48</f>
        <v>854100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21"/>
      <c r="P48" s="122">
        <f>D48+F48+J48+N48+H48-E48-G48-I48-M48+L48-K48</f>
        <v>854100</v>
      </c>
    </row>
    <row r="49" spans="1:16" s="29" customFormat="1" ht="12.75">
      <c r="A49" s="49" t="s">
        <v>13</v>
      </c>
      <c r="B49" s="506" t="s">
        <v>118</v>
      </c>
      <c r="C49" s="107">
        <f>Feb20!O49</f>
        <v>631727.2</v>
      </c>
      <c r="D49" s="10">
        <f>Feb20!P49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121">
        <f t="shared" si="0"/>
        <v>631727.2</v>
      </c>
      <c r="P49" s="122"/>
    </row>
    <row r="50" spans="1:16" s="29" customFormat="1" ht="12.75">
      <c r="A50" s="49" t="s">
        <v>14</v>
      </c>
      <c r="B50" s="506" t="s">
        <v>119</v>
      </c>
      <c r="C50" s="107">
        <f>Feb20!O50</f>
        <v>0</v>
      </c>
      <c r="D50" s="10">
        <f>Feb20!P50</f>
        <v>319092.84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21"/>
      <c r="P50" s="122">
        <f>D50+F50+J50+N50+H50-E50-G50-I50-M50+L50-K50</f>
        <v>319092.84</v>
      </c>
    </row>
    <row r="51" spans="1:16" s="29" customFormat="1" ht="12.75">
      <c r="A51" s="49" t="s">
        <v>680</v>
      </c>
      <c r="B51" s="506" t="s">
        <v>681</v>
      </c>
      <c r="C51" s="107">
        <f>Feb20!O51</f>
        <v>0</v>
      </c>
      <c r="D51" s="10">
        <f>Feb20!P51:P51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21">
        <f t="shared" si="0"/>
        <v>0</v>
      </c>
      <c r="P51" s="122"/>
    </row>
    <row r="52" spans="1:16" s="29" customFormat="1" ht="12.75">
      <c r="A52" s="49" t="s">
        <v>683</v>
      </c>
      <c r="B52" s="506" t="s">
        <v>682</v>
      </c>
      <c r="C52" s="107">
        <f>Feb20!O52</f>
        <v>0</v>
      </c>
      <c r="D52" s="10">
        <f>Feb20!P52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21"/>
      <c r="P52" s="122">
        <f>D52+F52+J52+N52+H52-E52-G52-I52-M52+L52-K52</f>
        <v>0</v>
      </c>
    </row>
    <row r="53" spans="1:16" s="29" customFormat="1" ht="12.75">
      <c r="A53" s="49" t="s">
        <v>559</v>
      </c>
      <c r="B53" s="506" t="s">
        <v>558</v>
      </c>
      <c r="C53" s="107">
        <f>Feb20!O53</f>
        <v>33087500</v>
      </c>
      <c r="D53" s="10">
        <f>Feb20!P53</f>
        <v>0</v>
      </c>
      <c r="E53" s="9"/>
      <c r="F53" s="52"/>
      <c r="G53" s="14"/>
      <c r="H53" s="12"/>
      <c r="I53" s="9"/>
      <c r="J53" s="52"/>
      <c r="K53" s="14"/>
      <c r="L53" s="12"/>
      <c r="M53" s="14">
        <v>7338750</v>
      </c>
      <c r="N53" s="52"/>
      <c r="O53" s="121">
        <f t="shared" si="0"/>
        <v>40426250</v>
      </c>
      <c r="P53" s="122"/>
    </row>
    <row r="54" spans="1:16" s="29" customFormat="1" ht="12.75">
      <c r="A54" s="54" t="s">
        <v>15</v>
      </c>
      <c r="B54" s="506" t="s">
        <v>132</v>
      </c>
      <c r="C54" s="107">
        <f>Feb20!O54</f>
        <v>327763.39</v>
      </c>
      <c r="D54" s="10">
        <f>Feb20!P54:P54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121">
        <f t="shared" si="0"/>
        <v>327763.39</v>
      </c>
      <c r="P54" s="122"/>
    </row>
    <row r="55" spans="1:17" s="29" customFormat="1" ht="12.75">
      <c r="A55" s="8"/>
      <c r="B55" s="249"/>
      <c r="C55" s="107">
        <f>Feb20!O55</f>
        <v>0</v>
      </c>
      <c r="D55" s="10">
        <f>Feb20!P55</f>
        <v>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21"/>
      <c r="P55" s="122"/>
      <c r="Q55" s="55"/>
    </row>
    <row r="56" spans="1:17" s="29" customFormat="1" ht="12.75" customHeight="1">
      <c r="A56" s="7" t="s">
        <v>16</v>
      </c>
      <c r="B56" s="249"/>
      <c r="C56" s="107">
        <f>Feb20!O56</f>
        <v>0</v>
      </c>
      <c r="D56" s="10">
        <f>Feb20!P56</f>
        <v>0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21"/>
      <c r="P56" s="122"/>
      <c r="Q56" s="55"/>
    </row>
    <row r="57" spans="1:17" s="29" customFormat="1" ht="12.75" customHeight="1">
      <c r="A57" s="49" t="s">
        <v>31</v>
      </c>
      <c r="B57" s="262" t="s">
        <v>133</v>
      </c>
      <c r="C57" s="107">
        <f>Feb20!O57</f>
        <v>0</v>
      </c>
      <c r="D57" s="10">
        <f>Feb20!P57:P57</f>
        <v>35250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121"/>
      <c r="P57" s="122">
        <f aca="true" t="shared" si="1" ref="P57:P66">D57+F57+J57+N57+H57-E57-G57-I57-M57+L57-K57</f>
        <v>35250</v>
      </c>
      <c r="Q57" s="55"/>
    </row>
    <row r="58" spans="1:16" s="29" customFormat="1" ht="12.75">
      <c r="A58" s="49" t="s">
        <v>46</v>
      </c>
      <c r="B58" s="262" t="s">
        <v>134</v>
      </c>
      <c r="C58" s="107">
        <f>Feb20!O58</f>
        <v>0</v>
      </c>
      <c r="D58" s="10">
        <f>Feb20!P58</f>
        <v>191773.43000000002</v>
      </c>
      <c r="E58" s="9"/>
      <c r="F58" s="52">
        <v>201883.59</v>
      </c>
      <c r="G58" s="14"/>
      <c r="H58" s="12"/>
      <c r="I58" s="9"/>
      <c r="J58" s="52"/>
      <c r="K58" s="14"/>
      <c r="L58" s="12"/>
      <c r="M58" s="14">
        <v>191773.43</v>
      </c>
      <c r="N58" s="52"/>
      <c r="O58" s="121"/>
      <c r="P58" s="122">
        <f t="shared" si="1"/>
        <v>201883.59000000003</v>
      </c>
    </row>
    <row r="59" spans="1:16" s="29" customFormat="1" ht="12.75">
      <c r="A59" s="74" t="s">
        <v>685</v>
      </c>
      <c r="B59" s="264" t="s">
        <v>684</v>
      </c>
      <c r="C59" s="107">
        <f>Feb20!O59</f>
        <v>0</v>
      </c>
      <c r="D59" s="10">
        <f>Feb20!P59</f>
        <v>582666.27</v>
      </c>
      <c r="E59" s="9">
        <v>86068.35</v>
      </c>
      <c r="F59" s="52">
        <v>109806.57</v>
      </c>
      <c r="G59" s="14"/>
      <c r="H59" s="12"/>
      <c r="I59" s="9"/>
      <c r="J59" s="52"/>
      <c r="K59" s="14"/>
      <c r="L59" s="12"/>
      <c r="M59" s="14"/>
      <c r="N59" s="52"/>
      <c r="O59" s="121"/>
      <c r="P59" s="122">
        <f t="shared" si="1"/>
        <v>606404.4900000001</v>
      </c>
    </row>
    <row r="60" spans="1:16" s="29" customFormat="1" ht="12.75">
      <c r="A60" s="74" t="s">
        <v>686</v>
      </c>
      <c r="B60" s="264" t="s">
        <v>688</v>
      </c>
      <c r="C60" s="107">
        <f>Feb20!O60</f>
        <v>0</v>
      </c>
      <c r="D60" s="10">
        <f>Feb20!P60:P60</f>
        <v>105656.69</v>
      </c>
      <c r="E60" s="9">
        <v>95208.43</v>
      </c>
      <c r="F60" s="52">
        <v>96134.74</v>
      </c>
      <c r="G60" s="14"/>
      <c r="H60" s="12"/>
      <c r="I60" s="9"/>
      <c r="J60" s="52"/>
      <c r="K60" s="14"/>
      <c r="L60" s="12"/>
      <c r="M60" s="14"/>
      <c r="N60" s="52"/>
      <c r="O60" s="121"/>
      <c r="P60" s="122">
        <f t="shared" si="1"/>
        <v>106583</v>
      </c>
    </row>
    <row r="61" spans="1:16" s="29" customFormat="1" ht="12.75">
      <c r="A61" s="74" t="s">
        <v>687</v>
      </c>
      <c r="B61" s="264" t="s">
        <v>689</v>
      </c>
      <c r="C61" s="107">
        <f>Feb20!O61</f>
        <v>0</v>
      </c>
      <c r="D61" s="10">
        <f>Feb20!P61</f>
        <v>25105.72</v>
      </c>
      <c r="E61" s="9">
        <v>13327.86</v>
      </c>
      <c r="F61" s="52">
        <v>13327.86</v>
      </c>
      <c r="G61" s="14"/>
      <c r="H61" s="12"/>
      <c r="I61" s="9"/>
      <c r="J61" s="52"/>
      <c r="K61" s="14"/>
      <c r="L61" s="12"/>
      <c r="M61" s="14"/>
      <c r="N61" s="52"/>
      <c r="O61" s="121"/>
      <c r="P61" s="122">
        <f t="shared" si="1"/>
        <v>25105.72</v>
      </c>
    </row>
    <row r="62" spans="1:17" s="29" customFormat="1" ht="12.75">
      <c r="A62" s="49" t="s">
        <v>690</v>
      </c>
      <c r="B62" s="262" t="s">
        <v>692</v>
      </c>
      <c r="C62" s="107">
        <f>Feb20!O62</f>
        <v>0</v>
      </c>
      <c r="D62" s="10">
        <f>Feb20!P62</f>
        <v>8611.039999999999</v>
      </c>
      <c r="E62" s="9">
        <v>3084.68</v>
      </c>
      <c r="F62" s="52">
        <v>3084.68</v>
      </c>
      <c r="G62" s="14"/>
      <c r="H62" s="12"/>
      <c r="I62" s="9"/>
      <c r="J62" s="52"/>
      <c r="K62" s="14"/>
      <c r="L62" s="12"/>
      <c r="M62" s="14"/>
      <c r="N62" s="52"/>
      <c r="O62" s="121"/>
      <c r="P62" s="122">
        <f t="shared" si="1"/>
        <v>8611.039999999999</v>
      </c>
      <c r="Q62" s="55"/>
    </row>
    <row r="63" spans="1:17" s="29" customFormat="1" ht="12.75">
      <c r="A63" s="49" t="s">
        <v>691</v>
      </c>
      <c r="B63" s="262" t="s">
        <v>693</v>
      </c>
      <c r="C63" s="107">
        <f>Feb20!O63</f>
        <v>0</v>
      </c>
      <c r="D63" s="10">
        <f>Feb20!P63:P63</f>
        <v>2493</v>
      </c>
      <c r="E63" s="9">
        <v>408.33</v>
      </c>
      <c r="F63" s="52">
        <v>408.33</v>
      </c>
      <c r="G63" s="14"/>
      <c r="H63" s="12"/>
      <c r="I63" s="9"/>
      <c r="J63" s="52"/>
      <c r="K63" s="14"/>
      <c r="L63" s="12"/>
      <c r="M63" s="14"/>
      <c r="N63" s="52"/>
      <c r="O63" s="121"/>
      <c r="P63" s="122">
        <f t="shared" si="1"/>
        <v>2493</v>
      </c>
      <c r="Q63" s="55"/>
    </row>
    <row r="64" spans="1:17" s="29" customFormat="1" ht="12.75">
      <c r="A64" s="49" t="s">
        <v>47</v>
      </c>
      <c r="B64" s="262" t="s">
        <v>137</v>
      </c>
      <c r="C64" s="107">
        <f>Feb20!O64</f>
        <v>0</v>
      </c>
      <c r="D64" s="10">
        <f>Feb20!P64</f>
        <v>27746.3</v>
      </c>
      <c r="E64" s="9">
        <v>12643.81</v>
      </c>
      <c r="F64" s="52">
        <v>13256.25</v>
      </c>
      <c r="G64" s="14"/>
      <c r="H64" s="12"/>
      <c r="I64" s="9"/>
      <c r="J64" s="52"/>
      <c r="K64" s="14"/>
      <c r="L64" s="12"/>
      <c r="M64" s="14"/>
      <c r="N64" s="52"/>
      <c r="O64" s="121"/>
      <c r="P64" s="122">
        <f t="shared" si="1"/>
        <v>28358.740000000005</v>
      </c>
      <c r="Q64" s="55"/>
    </row>
    <row r="65" spans="1:17" s="29" customFormat="1" ht="12.75">
      <c r="A65" s="74" t="s">
        <v>59</v>
      </c>
      <c r="B65" s="264" t="s">
        <v>138</v>
      </c>
      <c r="C65" s="107">
        <f>Feb20!O65</f>
        <v>0</v>
      </c>
      <c r="D65" s="10">
        <f>Feb20!P65</f>
        <v>16909.73000000004</v>
      </c>
      <c r="E65" s="9">
        <v>82377.77</v>
      </c>
      <c r="F65" s="52">
        <v>138471.31</v>
      </c>
      <c r="G65" s="14"/>
      <c r="H65" s="12"/>
      <c r="I65" s="9"/>
      <c r="J65" s="52"/>
      <c r="K65" s="14"/>
      <c r="L65" s="12"/>
      <c r="M65" s="14"/>
      <c r="N65" s="52"/>
      <c r="O65" s="121"/>
      <c r="P65" s="122">
        <f t="shared" si="1"/>
        <v>73003.27000000003</v>
      </c>
      <c r="Q65" s="55"/>
    </row>
    <row r="66" spans="1:17" s="29" customFormat="1" ht="12.75">
      <c r="A66" s="49" t="s">
        <v>17</v>
      </c>
      <c r="B66" s="262" t="s">
        <v>139</v>
      </c>
      <c r="C66" s="107">
        <f>Feb20!O66</f>
        <v>0</v>
      </c>
      <c r="D66" s="10">
        <f>Feb20!P66:P66</f>
        <v>0</v>
      </c>
      <c r="E66" s="9"/>
      <c r="F66" s="52"/>
      <c r="G66" s="14"/>
      <c r="H66" s="12"/>
      <c r="I66" s="9"/>
      <c r="J66" s="52"/>
      <c r="K66" s="14"/>
      <c r="L66" s="12"/>
      <c r="M66" s="14"/>
      <c r="N66" s="52"/>
      <c r="O66" s="121"/>
      <c r="P66" s="122">
        <f t="shared" si="1"/>
        <v>0</v>
      </c>
      <c r="Q66" s="55"/>
    </row>
    <row r="67" spans="1:16" s="29" customFormat="1" ht="12.75">
      <c r="A67" s="8"/>
      <c r="B67" s="249"/>
      <c r="C67" s="107">
        <f>Feb20!O67</f>
        <v>0</v>
      </c>
      <c r="D67" s="10">
        <f>Feb20!P67</f>
        <v>0</v>
      </c>
      <c r="E67" s="9"/>
      <c r="F67" s="52"/>
      <c r="G67" s="14"/>
      <c r="H67" s="12"/>
      <c r="I67" s="9"/>
      <c r="J67" s="52"/>
      <c r="K67" s="14"/>
      <c r="L67" s="12"/>
      <c r="M67" s="14"/>
      <c r="N67" s="52"/>
      <c r="O67" s="121"/>
      <c r="P67" s="122"/>
    </row>
    <row r="68" spans="1:16" s="29" customFormat="1" ht="12.75">
      <c r="A68" s="7" t="s">
        <v>32</v>
      </c>
      <c r="B68" s="249"/>
      <c r="C68" s="107">
        <f>Feb20!O68</f>
        <v>0</v>
      </c>
      <c r="D68" s="10">
        <f>Feb20!P68</f>
        <v>0</v>
      </c>
      <c r="E68" s="9"/>
      <c r="F68" s="52"/>
      <c r="G68" s="14"/>
      <c r="H68" s="12"/>
      <c r="I68" s="9"/>
      <c r="J68" s="52"/>
      <c r="K68" s="14"/>
      <c r="L68" s="12"/>
      <c r="M68" s="14"/>
      <c r="N68" s="52"/>
      <c r="O68" s="121"/>
      <c r="P68" s="122"/>
    </row>
    <row r="69" spans="1:17" s="29" customFormat="1" ht="12.75">
      <c r="A69" s="49" t="s">
        <v>18</v>
      </c>
      <c r="B69" s="262" t="s">
        <v>140</v>
      </c>
      <c r="C69" s="107">
        <f>Feb20!O69</f>
        <v>0</v>
      </c>
      <c r="D69" s="10">
        <f>Feb20!P69:P69</f>
        <v>93682852.88</v>
      </c>
      <c r="E69" s="9"/>
      <c r="F69" s="52"/>
      <c r="G69" s="14"/>
      <c r="H69" s="12"/>
      <c r="I69" s="9"/>
      <c r="J69" s="52"/>
      <c r="K69" s="14"/>
      <c r="L69" s="12"/>
      <c r="M69" s="14"/>
      <c r="N69" s="14"/>
      <c r="O69" s="121"/>
      <c r="P69" s="122">
        <f>D69+F69+J69+N69+H69-E69-G69-I69-M69+L69-K69</f>
        <v>93682852.88</v>
      </c>
      <c r="Q69" s="55"/>
    </row>
    <row r="70" spans="1:16" s="29" customFormat="1" ht="12.75">
      <c r="A70" s="49" t="s">
        <v>142</v>
      </c>
      <c r="B70" s="249" t="s">
        <v>141</v>
      </c>
      <c r="C70" s="107">
        <f>Feb20!O70</f>
        <v>0</v>
      </c>
      <c r="D70" s="10">
        <f>Feb20!P70</f>
        <v>19529335.060000002</v>
      </c>
      <c r="E70" s="9"/>
      <c r="F70" s="52"/>
      <c r="G70" s="14"/>
      <c r="H70" s="12"/>
      <c r="I70" s="9"/>
      <c r="J70" s="52"/>
      <c r="K70" s="14"/>
      <c r="L70" s="12"/>
      <c r="M70" s="14"/>
      <c r="N70" s="14">
        <f>10453565+191773.43</f>
        <v>10645338.43</v>
      </c>
      <c r="O70" s="121"/>
      <c r="P70" s="122">
        <f>D70+F70+J70+N70+H70-E70-G70-I70-M70+L70-K70</f>
        <v>30174673.490000002</v>
      </c>
    </row>
    <row r="71" spans="1:16" s="29" customFormat="1" ht="12.75">
      <c r="A71" s="49" t="s">
        <v>673</v>
      </c>
      <c r="B71" s="249" t="s">
        <v>745</v>
      </c>
      <c r="C71" s="107"/>
      <c r="D71" s="10">
        <f>Feb20!P71</f>
        <v>14295845.35</v>
      </c>
      <c r="E71" s="9"/>
      <c r="F71" s="52"/>
      <c r="G71" s="14"/>
      <c r="H71" s="12"/>
      <c r="I71" s="9"/>
      <c r="J71" s="52"/>
      <c r="K71" s="14"/>
      <c r="L71" s="12"/>
      <c r="M71" s="14"/>
      <c r="N71" s="9">
        <v>5912863</v>
      </c>
      <c r="O71" s="121"/>
      <c r="P71" s="122">
        <f>D71+F71+J71+N71+H71-E71-G71-I71-M71+L71-K71</f>
        <v>20208708.35</v>
      </c>
    </row>
    <row r="72" spans="1:16" s="29" customFormat="1" ht="12.75">
      <c r="A72" s="49"/>
      <c r="B72" s="249"/>
      <c r="C72" s="107">
        <f>Feb20!O72</f>
        <v>0</v>
      </c>
      <c r="D72" s="10">
        <f>Feb20!P72:P72</f>
        <v>0</v>
      </c>
      <c r="E72" s="9"/>
      <c r="F72" s="52"/>
      <c r="G72" s="14"/>
      <c r="H72" s="12"/>
      <c r="I72" s="9"/>
      <c r="J72" s="52"/>
      <c r="K72" s="14"/>
      <c r="L72" s="12"/>
      <c r="M72" s="14"/>
      <c r="N72" s="52"/>
      <c r="O72" s="121"/>
      <c r="P72" s="122"/>
    </row>
    <row r="73" spans="1:17" s="29" customFormat="1" ht="12.75">
      <c r="A73" s="4" t="s">
        <v>19</v>
      </c>
      <c r="B73" s="248"/>
      <c r="C73" s="107">
        <f>Feb20!O73</f>
        <v>0</v>
      </c>
      <c r="D73" s="10">
        <f>Feb20!P73</f>
        <v>0</v>
      </c>
      <c r="E73" s="9"/>
      <c r="F73" s="52"/>
      <c r="G73" s="14"/>
      <c r="H73" s="12"/>
      <c r="I73" s="9"/>
      <c r="J73" s="52"/>
      <c r="K73" s="14"/>
      <c r="L73" s="12"/>
      <c r="M73" s="14"/>
      <c r="N73" s="52"/>
      <c r="O73" s="121"/>
      <c r="P73" s="122"/>
      <c r="Q73" s="468"/>
    </row>
    <row r="74" spans="1:17" s="29" customFormat="1" ht="12.75">
      <c r="A74" s="23" t="s">
        <v>143</v>
      </c>
      <c r="B74" s="265" t="s">
        <v>144</v>
      </c>
      <c r="C74" s="107">
        <f>Feb20!O74</f>
        <v>2377820.04</v>
      </c>
      <c r="D74" s="10">
        <f>Feb20!P74</f>
        <v>0</v>
      </c>
      <c r="E74" s="9">
        <v>1286847.08</v>
      </c>
      <c r="F74" s="52"/>
      <c r="G74" s="14"/>
      <c r="H74" s="12"/>
      <c r="I74" s="9"/>
      <c r="J74" s="52"/>
      <c r="K74" s="14"/>
      <c r="L74" s="12"/>
      <c r="M74" s="52"/>
      <c r="N74" s="52"/>
      <c r="O74" s="121">
        <f t="shared" si="0"/>
        <v>3664667.12</v>
      </c>
      <c r="P74" s="122"/>
      <c r="Q74" s="468"/>
    </row>
    <row r="75" spans="1:17" s="29" customFormat="1" ht="12.75">
      <c r="A75" s="23" t="s">
        <v>20</v>
      </c>
      <c r="B75" s="265" t="s">
        <v>145</v>
      </c>
      <c r="C75" s="107">
        <f>Feb20!O75</f>
        <v>84000</v>
      </c>
      <c r="D75" s="10">
        <f>Feb20!P75</f>
        <v>0</v>
      </c>
      <c r="E75" s="25">
        <v>42000</v>
      </c>
      <c r="F75" s="26"/>
      <c r="G75" s="27"/>
      <c r="H75" s="28"/>
      <c r="I75" s="25"/>
      <c r="J75" s="26"/>
      <c r="K75" s="27"/>
      <c r="L75" s="28"/>
      <c r="M75" s="27"/>
      <c r="N75" s="26"/>
      <c r="O75" s="121">
        <f t="shared" si="0"/>
        <v>126000</v>
      </c>
      <c r="P75" s="122"/>
      <c r="Q75" s="468"/>
    </row>
    <row r="76" spans="1:17" s="29" customFormat="1" ht="12.75">
      <c r="A76" s="23" t="s">
        <v>21</v>
      </c>
      <c r="B76" s="265" t="s">
        <v>146</v>
      </c>
      <c r="C76" s="107">
        <f>Feb20!O76</f>
        <v>38000</v>
      </c>
      <c r="D76" s="10">
        <f>Feb20!P76:P76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121">
        <f t="shared" si="0"/>
        <v>57000</v>
      </c>
      <c r="P76" s="62"/>
      <c r="Q76" s="468"/>
    </row>
    <row r="77" spans="1:17" s="29" customFormat="1" ht="12.75">
      <c r="A77" s="23" t="s">
        <v>22</v>
      </c>
      <c r="B77" s="265" t="s">
        <v>147</v>
      </c>
      <c r="C77" s="107">
        <f>Feb20!O77</f>
        <v>38000</v>
      </c>
      <c r="D77" s="10">
        <f>Feb20!P77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121">
        <f t="shared" si="0"/>
        <v>57000</v>
      </c>
      <c r="P77" s="62"/>
      <c r="Q77" s="468"/>
    </row>
    <row r="78" spans="1:17" s="29" customFormat="1" ht="12.75" hidden="1">
      <c r="A78" s="23" t="s">
        <v>67</v>
      </c>
      <c r="B78" s="265" t="s">
        <v>527</v>
      </c>
      <c r="C78" s="107">
        <f>Feb20!O78</f>
        <v>0</v>
      </c>
      <c r="D78" s="10">
        <f>Feb20!P78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121">
        <f t="shared" si="0"/>
        <v>0</v>
      </c>
      <c r="P78" s="62"/>
      <c r="Q78" s="468"/>
    </row>
    <row r="79" spans="1:17" s="29" customFormat="1" ht="13.5" customHeight="1" hidden="1">
      <c r="A79" s="23" t="s">
        <v>149</v>
      </c>
      <c r="B79" s="265" t="s">
        <v>148</v>
      </c>
      <c r="C79" s="107">
        <f>Feb20!O79</f>
        <v>0</v>
      </c>
      <c r="D79" s="10">
        <f>Feb20!P79:P79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121">
        <f t="shared" si="0"/>
        <v>0</v>
      </c>
      <c r="P79" s="62"/>
      <c r="Q79" s="468"/>
    </row>
    <row r="80" spans="1:17" s="29" customFormat="1" ht="12.75" customHeight="1" hidden="1">
      <c r="A80" s="23" t="s">
        <v>66</v>
      </c>
      <c r="B80" s="265" t="s">
        <v>150</v>
      </c>
      <c r="C80" s="107">
        <f>Feb20!O80</f>
        <v>0</v>
      </c>
      <c r="D80" s="10">
        <f>Feb20!P80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121">
        <f t="shared" si="0"/>
        <v>0</v>
      </c>
      <c r="P80" s="62"/>
      <c r="Q80" s="468"/>
    </row>
    <row r="81" spans="1:17" s="29" customFormat="1" ht="12.75" hidden="1">
      <c r="A81" s="23" t="s">
        <v>221</v>
      </c>
      <c r="B81" s="265" t="s">
        <v>537</v>
      </c>
      <c r="C81" s="107">
        <f>Feb20!O81</f>
        <v>0</v>
      </c>
      <c r="D81" s="10">
        <f>Feb20!P81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121">
        <f t="shared" si="0"/>
        <v>0</v>
      </c>
      <c r="P81" s="62"/>
      <c r="Q81" s="468"/>
    </row>
    <row r="82" spans="1:17" s="29" customFormat="1" ht="12.75" hidden="1">
      <c r="A82" s="23" t="s">
        <v>76</v>
      </c>
      <c r="B82" s="265" t="s">
        <v>153</v>
      </c>
      <c r="C82" s="107">
        <f>Feb20!O82</f>
        <v>0</v>
      </c>
      <c r="D82" s="10">
        <f>Feb20!P82:P82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121">
        <f t="shared" si="0"/>
        <v>0</v>
      </c>
      <c r="P82" s="62"/>
      <c r="Q82" s="468"/>
    </row>
    <row r="83" spans="1:17" s="29" customFormat="1" ht="12.75" hidden="1">
      <c r="A83" s="23" t="s">
        <v>242</v>
      </c>
      <c r="B83" s="265" t="s">
        <v>234</v>
      </c>
      <c r="C83" s="107">
        <f>Feb20!O83</f>
        <v>0</v>
      </c>
      <c r="D83" s="10">
        <f>Feb20!P83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121">
        <f t="shared" si="0"/>
        <v>0</v>
      </c>
      <c r="P83" s="62"/>
      <c r="Q83" s="468"/>
    </row>
    <row r="84" spans="1:17" s="29" customFormat="1" ht="12.75" hidden="1">
      <c r="A84" s="23" t="s">
        <v>75</v>
      </c>
      <c r="B84" s="265" t="s">
        <v>152</v>
      </c>
      <c r="C84" s="107">
        <f>Feb20!O84</f>
        <v>0</v>
      </c>
      <c r="D84" s="10">
        <f>Feb20!P84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121">
        <f t="shared" si="0"/>
        <v>0</v>
      </c>
      <c r="P84" s="62"/>
      <c r="Q84" s="468"/>
    </row>
    <row r="85" spans="1:17" s="29" customFormat="1" ht="12.75" hidden="1">
      <c r="A85" s="23" t="s">
        <v>70</v>
      </c>
      <c r="B85" s="265" t="s">
        <v>151</v>
      </c>
      <c r="C85" s="107">
        <f>Feb20!O85</f>
        <v>0</v>
      </c>
      <c r="D85" s="10">
        <f>Feb20!P85:P85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121">
        <f t="shared" si="0"/>
        <v>0</v>
      </c>
      <c r="P85" s="62"/>
      <c r="Q85" s="468"/>
    </row>
    <row r="86" spans="1:17" s="29" customFormat="1" ht="12.75">
      <c r="A86" s="23" t="s">
        <v>562</v>
      </c>
      <c r="B86" s="265" t="s">
        <v>563</v>
      </c>
      <c r="C86" s="107">
        <f>Feb20!O86</f>
        <v>18000</v>
      </c>
      <c r="D86" s="10">
        <f>Feb20!P86</f>
        <v>0</v>
      </c>
      <c r="E86" s="25">
        <v>175000</v>
      </c>
      <c r="F86" s="26"/>
      <c r="G86" s="27"/>
      <c r="H86" s="28"/>
      <c r="I86" s="25"/>
      <c r="J86" s="26"/>
      <c r="K86" s="27"/>
      <c r="L86" s="28"/>
      <c r="M86" s="27"/>
      <c r="N86" s="26"/>
      <c r="O86" s="121">
        <f t="shared" si="0"/>
        <v>193000</v>
      </c>
      <c r="P86" s="62"/>
      <c r="Q86" s="468"/>
    </row>
    <row r="87" spans="1:17" s="29" customFormat="1" ht="12.75">
      <c r="A87" s="23" t="s">
        <v>564</v>
      </c>
      <c r="B87" s="265" t="s">
        <v>565</v>
      </c>
      <c r="C87" s="107">
        <f>Feb20!O87</f>
        <v>0</v>
      </c>
      <c r="D87" s="10">
        <f>Feb20!P87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121">
        <f t="shared" si="0"/>
        <v>0</v>
      </c>
      <c r="P87" s="62"/>
      <c r="Q87" s="468"/>
    </row>
    <row r="88" spans="1:17" s="29" customFormat="1" ht="12.75">
      <c r="A88" s="23" t="s">
        <v>553</v>
      </c>
      <c r="B88" s="265" t="s">
        <v>554</v>
      </c>
      <c r="C88" s="107">
        <f>Feb20!O88</f>
        <v>0</v>
      </c>
      <c r="D88" s="10">
        <f>Feb20!P88:P88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121">
        <f t="shared" si="0"/>
        <v>0</v>
      </c>
      <c r="P88" s="62"/>
      <c r="Q88" s="468"/>
    </row>
    <row r="89" spans="1:17" s="29" customFormat="1" ht="12.75" customHeight="1">
      <c r="A89" s="23" t="s">
        <v>33</v>
      </c>
      <c r="B89" s="265" t="s">
        <v>154</v>
      </c>
      <c r="C89" s="107">
        <f>Feb20!O89</f>
        <v>114757.8</v>
      </c>
      <c r="D89" s="10">
        <f>Feb20!P89</f>
        <v>0</v>
      </c>
      <c r="E89" s="25">
        <v>114757.8</v>
      </c>
      <c r="F89" s="26"/>
      <c r="G89" s="27"/>
      <c r="H89" s="28"/>
      <c r="I89" s="25"/>
      <c r="J89" s="26"/>
      <c r="K89" s="27"/>
      <c r="L89" s="28"/>
      <c r="M89" s="27"/>
      <c r="N89" s="26"/>
      <c r="O89" s="121">
        <f t="shared" si="0"/>
        <v>229515.6</v>
      </c>
      <c r="P89" s="62"/>
      <c r="Q89" s="468"/>
    </row>
    <row r="90" spans="1:17" s="29" customFormat="1" ht="12.75">
      <c r="A90" s="23" t="s">
        <v>34</v>
      </c>
      <c r="B90" s="265" t="s">
        <v>155</v>
      </c>
      <c r="C90" s="107">
        <f>Feb20!O90</f>
        <v>3084.68</v>
      </c>
      <c r="D90" s="10">
        <f>Feb20!P90</f>
        <v>0</v>
      </c>
      <c r="E90" s="25">
        <v>3084.68</v>
      </c>
      <c r="F90" s="26"/>
      <c r="G90" s="27"/>
      <c r="H90" s="28"/>
      <c r="I90" s="25"/>
      <c r="J90" s="26"/>
      <c r="K90" s="27"/>
      <c r="L90" s="28"/>
      <c r="M90" s="27"/>
      <c r="N90" s="26"/>
      <c r="O90" s="121">
        <f t="shared" si="0"/>
        <v>6169.36</v>
      </c>
      <c r="P90" s="62"/>
      <c r="Q90" s="468"/>
    </row>
    <row r="91" spans="1:17" s="29" customFormat="1" ht="12.75">
      <c r="A91" s="23" t="s">
        <v>35</v>
      </c>
      <c r="B91" s="265" t="s">
        <v>156</v>
      </c>
      <c r="C91" s="107">
        <f>Feb20!O91</f>
        <v>25287.69</v>
      </c>
      <c r="D91" s="10">
        <f>Feb20!P91:P91</f>
        <v>0</v>
      </c>
      <c r="E91" s="25">
        <v>12643.88</v>
      </c>
      <c r="F91" s="26"/>
      <c r="G91" s="27"/>
      <c r="H91" s="28"/>
      <c r="I91" s="25"/>
      <c r="J91" s="26"/>
      <c r="K91" s="27"/>
      <c r="L91" s="28"/>
      <c r="M91" s="27"/>
      <c r="N91" s="26"/>
      <c r="O91" s="121">
        <f t="shared" si="0"/>
        <v>37931.57</v>
      </c>
      <c r="P91" s="62"/>
      <c r="Q91" s="468"/>
    </row>
    <row r="92" spans="1:17" s="29" customFormat="1" ht="13.5" customHeight="1">
      <c r="A92" s="23" t="s">
        <v>36</v>
      </c>
      <c r="B92" s="265" t="s">
        <v>157</v>
      </c>
      <c r="C92" s="107">
        <f>Feb20!O92</f>
        <v>1900</v>
      </c>
      <c r="D92" s="10">
        <f>Feb20!P92</f>
        <v>0</v>
      </c>
      <c r="E92" s="25">
        <v>1900</v>
      </c>
      <c r="F92" s="26"/>
      <c r="G92" s="27"/>
      <c r="H92" s="28"/>
      <c r="I92" s="25"/>
      <c r="J92" s="26"/>
      <c r="K92" s="27"/>
      <c r="L92" s="28"/>
      <c r="M92" s="27"/>
      <c r="N92" s="26"/>
      <c r="O92" s="121">
        <f aca="true" t="shared" si="2" ref="O92:O155">C92+E92+I92+M92-D92-F92-J92-N92+G92-H92+K92-L92</f>
        <v>3800</v>
      </c>
      <c r="P92" s="62"/>
      <c r="Q92" s="468"/>
    </row>
    <row r="93" spans="1:17" s="29" customFormat="1" ht="13.5" customHeight="1">
      <c r="A93" s="23" t="s">
        <v>698</v>
      </c>
      <c r="B93" s="265" t="s">
        <v>699</v>
      </c>
      <c r="C93" s="107">
        <f>Feb20!O93</f>
        <v>0</v>
      </c>
      <c r="D93" s="10">
        <f>Feb20!P93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121">
        <f t="shared" si="2"/>
        <v>0</v>
      </c>
      <c r="P93" s="62"/>
      <c r="Q93" s="468"/>
    </row>
    <row r="94" spans="1:17" s="29" customFormat="1" ht="12.75">
      <c r="A94" s="23" t="s">
        <v>208</v>
      </c>
      <c r="B94" s="265" t="s">
        <v>207</v>
      </c>
      <c r="C94" s="107">
        <f>Feb20!O94</f>
        <v>10000</v>
      </c>
      <c r="D94" s="10">
        <f>Feb20!P94:P94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6"/>
      <c r="O94" s="121">
        <f t="shared" si="2"/>
        <v>10000</v>
      </c>
      <c r="P94" s="62"/>
      <c r="Q94" s="468"/>
    </row>
    <row r="95" spans="1:17" s="29" customFormat="1" ht="12.75">
      <c r="A95" s="23" t="s">
        <v>98</v>
      </c>
      <c r="B95" s="265" t="s">
        <v>555</v>
      </c>
      <c r="C95" s="107">
        <f>Feb20!O95</f>
        <v>0</v>
      </c>
      <c r="D95" s="10">
        <f>Feb20!P95</f>
        <v>0</v>
      </c>
      <c r="E95" s="25">
        <v>755292</v>
      </c>
      <c r="F95" s="26"/>
      <c r="G95" s="27"/>
      <c r="H95" s="28"/>
      <c r="I95" s="25"/>
      <c r="J95" s="26"/>
      <c r="K95" s="27"/>
      <c r="L95" s="28"/>
      <c r="M95" s="27"/>
      <c r="N95" s="26"/>
      <c r="O95" s="121">
        <f t="shared" si="2"/>
        <v>755292</v>
      </c>
      <c r="P95" s="62"/>
      <c r="Q95" s="468"/>
    </row>
    <row r="96" spans="1:17" s="29" customFormat="1" ht="12.75">
      <c r="A96" s="23" t="s">
        <v>28</v>
      </c>
      <c r="B96" s="265" t="s">
        <v>158</v>
      </c>
      <c r="C96" s="107">
        <f>Feb20!O96</f>
        <v>383346.72000000003</v>
      </c>
      <c r="D96" s="10">
        <f>Feb20!P96</f>
        <v>0</v>
      </c>
      <c r="E96" s="25">
        <v>89682.94</v>
      </c>
      <c r="F96" s="26"/>
      <c r="G96" s="27"/>
      <c r="H96" s="28"/>
      <c r="I96" s="25"/>
      <c r="J96" s="26"/>
      <c r="K96" s="27"/>
      <c r="L96" s="28"/>
      <c r="M96" s="27"/>
      <c r="N96" s="26"/>
      <c r="O96" s="121">
        <f t="shared" si="2"/>
        <v>473029.66000000003</v>
      </c>
      <c r="P96" s="62"/>
      <c r="Q96" s="468"/>
    </row>
    <row r="97" spans="1:17" s="29" customFormat="1" ht="12.75">
      <c r="A97" s="23" t="s">
        <v>243</v>
      </c>
      <c r="B97" s="265" t="s">
        <v>236</v>
      </c>
      <c r="C97" s="107">
        <f>Feb20!O97</f>
        <v>0</v>
      </c>
      <c r="D97" s="10">
        <f>Feb20!P97:P97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121">
        <f t="shared" si="2"/>
        <v>0</v>
      </c>
      <c r="P97" s="62"/>
      <c r="Q97" s="468"/>
    </row>
    <row r="98" spans="1:17" s="29" customFormat="1" ht="12.75">
      <c r="A98" s="23" t="s">
        <v>27</v>
      </c>
      <c r="B98" s="265" t="s">
        <v>159</v>
      </c>
      <c r="C98" s="107">
        <f>Feb20!O98</f>
        <v>918281.25</v>
      </c>
      <c r="D98" s="10">
        <f>Feb20!P98</f>
        <v>0</v>
      </c>
      <c r="E98" s="25"/>
      <c r="F98" s="26"/>
      <c r="G98" s="27"/>
      <c r="H98" s="28"/>
      <c r="I98" s="25"/>
      <c r="J98" s="26"/>
      <c r="K98" s="27"/>
      <c r="L98" s="28"/>
      <c r="M98" s="27"/>
      <c r="N98" s="26"/>
      <c r="O98" s="121">
        <f t="shared" si="2"/>
        <v>918281.25</v>
      </c>
      <c r="P98" s="62"/>
      <c r="Q98" s="468"/>
    </row>
    <row r="99" spans="1:17" s="29" customFormat="1" ht="12.75">
      <c r="A99" s="23" t="s">
        <v>160</v>
      </c>
      <c r="B99" s="265" t="s">
        <v>161</v>
      </c>
      <c r="C99" s="107">
        <f>Feb20!O99</f>
        <v>0</v>
      </c>
      <c r="D99" s="10">
        <f>Feb20!P99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121">
        <f t="shared" si="2"/>
        <v>0</v>
      </c>
      <c r="P99" s="62"/>
      <c r="Q99" s="468"/>
    </row>
    <row r="100" spans="1:17" s="29" customFormat="1" ht="12.75">
      <c r="A100" s="23" t="s">
        <v>61</v>
      </c>
      <c r="B100" s="265" t="s">
        <v>162</v>
      </c>
      <c r="C100" s="107">
        <f>Feb20!O100</f>
        <v>5800.25</v>
      </c>
      <c r="D100" s="10">
        <f>Feb20!P100:P100</f>
        <v>0</v>
      </c>
      <c r="E100" s="25"/>
      <c r="F100" s="26"/>
      <c r="G100" s="27"/>
      <c r="H100" s="28"/>
      <c r="I100" s="25"/>
      <c r="J100" s="26"/>
      <c r="K100" s="27"/>
      <c r="L100" s="28"/>
      <c r="M100" s="27"/>
      <c r="N100" s="26"/>
      <c r="O100" s="121">
        <f t="shared" si="2"/>
        <v>5800.25</v>
      </c>
      <c r="P100" s="62"/>
      <c r="Q100" s="468"/>
    </row>
    <row r="101" spans="1:17" s="29" customFormat="1" ht="12.75">
      <c r="A101" s="23" t="s">
        <v>56</v>
      </c>
      <c r="B101" s="265" t="s">
        <v>163</v>
      </c>
      <c r="C101" s="107">
        <f>Feb20!O101</f>
        <v>0</v>
      </c>
      <c r="D101" s="10">
        <f>Feb20!P101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121">
        <f t="shared" si="2"/>
        <v>0</v>
      </c>
      <c r="P101" s="62"/>
      <c r="Q101" s="468"/>
    </row>
    <row r="102" spans="1:17" s="29" customFormat="1" ht="12.75">
      <c r="A102" s="23" t="s">
        <v>217</v>
      </c>
      <c r="B102" s="265" t="s">
        <v>218</v>
      </c>
      <c r="C102" s="107">
        <f>Feb20!O102</f>
        <v>0</v>
      </c>
      <c r="D102" s="10">
        <f>Feb20!P102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121">
        <f t="shared" si="2"/>
        <v>0</v>
      </c>
      <c r="P102" s="62"/>
      <c r="Q102" s="468"/>
    </row>
    <row r="103" spans="1:17" s="29" customFormat="1" ht="12.75">
      <c r="A103" s="23" t="s">
        <v>164</v>
      </c>
      <c r="B103" s="265" t="s">
        <v>165</v>
      </c>
      <c r="C103" s="107">
        <f>Feb20!O103</f>
        <v>10025</v>
      </c>
      <c r="D103" s="10">
        <f>Feb20!P103:P103</f>
        <v>0</v>
      </c>
      <c r="E103" s="25">
        <v>1000</v>
      </c>
      <c r="F103" s="26"/>
      <c r="G103" s="27"/>
      <c r="H103" s="28"/>
      <c r="I103" s="25"/>
      <c r="J103" s="26"/>
      <c r="K103" s="27"/>
      <c r="L103" s="28"/>
      <c r="M103" s="27"/>
      <c r="N103" s="26"/>
      <c r="O103" s="121">
        <f t="shared" si="2"/>
        <v>11025</v>
      </c>
      <c r="P103" s="62"/>
      <c r="Q103" s="468"/>
    </row>
    <row r="104" spans="1:17" s="29" customFormat="1" ht="12.75">
      <c r="A104" s="23" t="s">
        <v>570</v>
      </c>
      <c r="B104" s="265" t="s">
        <v>556</v>
      </c>
      <c r="C104" s="107">
        <f>Feb20!O104</f>
        <v>0</v>
      </c>
      <c r="D104" s="10">
        <f>Feb20!P104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121">
        <f t="shared" si="2"/>
        <v>0</v>
      </c>
      <c r="P104" s="62"/>
      <c r="Q104" s="468"/>
    </row>
    <row r="105" spans="1:17" s="29" customFormat="1" ht="12.75">
      <c r="A105" s="23" t="s">
        <v>535</v>
      </c>
      <c r="B105" s="265" t="s">
        <v>521</v>
      </c>
      <c r="C105" s="107">
        <f>Feb20!O105</f>
        <v>0</v>
      </c>
      <c r="D105" s="10">
        <f>Feb20!P105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121">
        <f t="shared" si="2"/>
        <v>0</v>
      </c>
      <c r="P105" s="62"/>
      <c r="Q105" s="468"/>
    </row>
    <row r="106" spans="1:17" s="29" customFormat="1" ht="12.75">
      <c r="A106" s="23" t="s">
        <v>536</v>
      </c>
      <c r="B106" s="265" t="s">
        <v>522</v>
      </c>
      <c r="C106" s="107">
        <f>Feb20!O106</f>
        <v>0</v>
      </c>
      <c r="D106" s="10">
        <f>Feb20!P106:P106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121">
        <f t="shared" si="2"/>
        <v>0</v>
      </c>
      <c r="P106" s="62"/>
      <c r="Q106" s="468"/>
    </row>
    <row r="107" spans="1:17" s="29" customFormat="1" ht="12.75" hidden="1">
      <c r="A107" s="23" t="s">
        <v>571</v>
      </c>
      <c r="B107" s="265" t="s">
        <v>572</v>
      </c>
      <c r="C107" s="107">
        <f>Feb20!O107</f>
        <v>0</v>
      </c>
      <c r="D107" s="10">
        <f>Feb20!P107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121">
        <f t="shared" si="2"/>
        <v>0</v>
      </c>
      <c r="P107" s="62"/>
      <c r="Q107" s="468"/>
    </row>
    <row r="108" spans="1:17" s="29" customFormat="1" ht="12.75" hidden="1">
      <c r="A108" s="23" t="s">
        <v>573</v>
      </c>
      <c r="B108" s="265" t="s">
        <v>557</v>
      </c>
      <c r="C108" s="107">
        <f>Feb20!O108</f>
        <v>0</v>
      </c>
      <c r="D108" s="10">
        <f>Feb20!P108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121">
        <f t="shared" si="2"/>
        <v>0</v>
      </c>
      <c r="P108" s="62"/>
      <c r="Q108" s="468"/>
    </row>
    <row r="109" spans="1:17" s="29" customFormat="1" ht="12.75" hidden="1">
      <c r="A109" s="23" t="s">
        <v>241</v>
      </c>
      <c r="B109" s="265" t="s">
        <v>235</v>
      </c>
      <c r="C109" s="107">
        <f>Feb20!O109</f>
        <v>0</v>
      </c>
      <c r="D109" s="10">
        <f>Feb20!P109:P109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121">
        <f t="shared" si="2"/>
        <v>0</v>
      </c>
      <c r="P109" s="62"/>
      <c r="Q109" s="468"/>
    </row>
    <row r="110" spans="1:17" s="29" customFormat="1" ht="12.75">
      <c r="A110" s="23" t="s">
        <v>166</v>
      </c>
      <c r="B110" s="265" t="s">
        <v>167</v>
      </c>
      <c r="C110" s="107">
        <f>Feb20!O110</f>
        <v>0</v>
      </c>
      <c r="D110" s="10">
        <f>Feb20!P110</f>
        <v>0</v>
      </c>
      <c r="E110" s="25"/>
      <c r="F110" s="26"/>
      <c r="G110" s="27"/>
      <c r="H110" s="28"/>
      <c r="I110" s="25"/>
      <c r="J110" s="26"/>
      <c r="K110" s="27"/>
      <c r="L110" s="28"/>
      <c r="M110" s="27"/>
      <c r="N110" s="26"/>
      <c r="O110" s="121">
        <f t="shared" si="2"/>
        <v>0</v>
      </c>
      <c r="P110" s="62"/>
      <c r="Q110" s="468"/>
    </row>
    <row r="111" spans="1:17" s="29" customFormat="1" ht="12.75">
      <c r="A111" s="23" t="s">
        <v>37</v>
      </c>
      <c r="B111" s="265" t="s">
        <v>168</v>
      </c>
      <c r="C111" s="107">
        <f>Feb20!O111</f>
        <v>2652.2</v>
      </c>
      <c r="D111" s="10">
        <f>Feb20!P111</f>
        <v>0</v>
      </c>
      <c r="E111" s="25"/>
      <c r="F111" s="26"/>
      <c r="G111" s="27"/>
      <c r="H111" s="28"/>
      <c r="I111" s="25"/>
      <c r="J111" s="26"/>
      <c r="K111" s="27"/>
      <c r="L111" s="28"/>
      <c r="M111" s="27"/>
      <c r="N111" s="26"/>
      <c r="O111" s="121">
        <f t="shared" si="2"/>
        <v>2652.2</v>
      </c>
      <c r="P111" s="62"/>
      <c r="Q111" s="468"/>
    </row>
    <row r="112" spans="1:17" s="29" customFormat="1" ht="12.75">
      <c r="A112" s="23" t="s">
        <v>43</v>
      </c>
      <c r="B112" s="265" t="s">
        <v>169</v>
      </c>
      <c r="C112" s="107">
        <f>Feb20!O112</f>
        <v>33271.08</v>
      </c>
      <c r="D112" s="10">
        <f>Feb20!P112:P112</f>
        <v>0</v>
      </c>
      <c r="E112" s="25"/>
      <c r="F112" s="26"/>
      <c r="G112" s="27"/>
      <c r="H112" s="28"/>
      <c r="I112" s="25"/>
      <c r="J112" s="26"/>
      <c r="K112" s="27"/>
      <c r="L112" s="28"/>
      <c r="M112" s="27"/>
      <c r="N112" s="26"/>
      <c r="O112" s="121">
        <f t="shared" si="2"/>
        <v>33271.08</v>
      </c>
      <c r="P112" s="62"/>
      <c r="Q112" s="468"/>
    </row>
    <row r="113" spans="1:17" s="29" customFormat="1" ht="12.75">
      <c r="A113" s="23" t="s">
        <v>694</v>
      </c>
      <c r="B113" s="265" t="s">
        <v>695</v>
      </c>
      <c r="C113" s="107">
        <f>Feb20!O113</f>
        <v>0</v>
      </c>
      <c r="D113" s="10">
        <f>Feb20!P113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121">
        <f t="shared" si="2"/>
        <v>0</v>
      </c>
      <c r="P113" s="62"/>
      <c r="Q113" s="468"/>
    </row>
    <row r="114" spans="1:17" s="29" customFormat="1" ht="12.75">
      <c r="A114" s="23" t="s">
        <v>29</v>
      </c>
      <c r="B114" s="265" t="s">
        <v>170</v>
      </c>
      <c r="C114" s="107">
        <f>Feb20!O114</f>
        <v>15745</v>
      </c>
      <c r="D114" s="10">
        <f>Feb20!P114</f>
        <v>0</v>
      </c>
      <c r="E114" s="25">
        <v>4951.8</v>
      </c>
      <c r="F114" s="26"/>
      <c r="G114" s="27"/>
      <c r="H114" s="28"/>
      <c r="I114" s="25"/>
      <c r="J114" s="26"/>
      <c r="K114" s="27"/>
      <c r="L114" s="28"/>
      <c r="M114" s="27"/>
      <c r="N114" s="26"/>
      <c r="O114" s="121">
        <f t="shared" si="2"/>
        <v>20696.8</v>
      </c>
      <c r="P114" s="62"/>
      <c r="Q114" s="468"/>
    </row>
    <row r="115" spans="1:17" s="29" customFormat="1" ht="12.75">
      <c r="A115" s="23" t="s">
        <v>194</v>
      </c>
      <c r="B115" s="265" t="s">
        <v>196</v>
      </c>
      <c r="C115" s="107">
        <f>Feb20!O115</f>
        <v>18201.93</v>
      </c>
      <c r="D115" s="10">
        <f>Feb20!P115:P115</f>
        <v>0</v>
      </c>
      <c r="E115" s="25">
        <v>8000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121">
        <f t="shared" si="2"/>
        <v>26201.93</v>
      </c>
      <c r="P115" s="62"/>
      <c r="Q115" s="468"/>
    </row>
    <row r="116" spans="1:17" s="29" customFormat="1" ht="12.75">
      <c r="A116" s="23" t="s">
        <v>195</v>
      </c>
      <c r="B116" s="265" t="s">
        <v>197</v>
      </c>
      <c r="C116" s="107">
        <f>Feb20!O116</f>
        <v>4853.78</v>
      </c>
      <c r="D116" s="10">
        <f>Feb20!P116</f>
        <v>0</v>
      </c>
      <c r="E116" s="25">
        <v>357.37</v>
      </c>
      <c r="F116" s="26"/>
      <c r="G116" s="27"/>
      <c r="H116" s="28"/>
      <c r="I116" s="25"/>
      <c r="J116" s="26"/>
      <c r="K116" s="27"/>
      <c r="L116" s="28"/>
      <c r="M116" s="27"/>
      <c r="N116" s="26"/>
      <c r="O116" s="121">
        <f t="shared" si="2"/>
        <v>5211.15</v>
      </c>
      <c r="P116" s="62"/>
      <c r="Q116" s="468"/>
    </row>
    <row r="117" spans="1:17" s="29" customFormat="1" ht="12.75">
      <c r="A117" s="23" t="s">
        <v>171</v>
      </c>
      <c r="B117" s="265" t="s">
        <v>172</v>
      </c>
      <c r="C117" s="107">
        <f>Feb20!O117</f>
        <v>17132.67</v>
      </c>
      <c r="D117" s="10">
        <f>Feb20!P117</f>
        <v>0</v>
      </c>
      <c r="E117" s="25">
        <v>5311.93</v>
      </c>
      <c r="F117" s="26"/>
      <c r="G117" s="27"/>
      <c r="H117" s="28"/>
      <c r="I117" s="25"/>
      <c r="J117" s="26"/>
      <c r="K117" s="27"/>
      <c r="L117" s="28"/>
      <c r="M117" s="27"/>
      <c r="N117" s="26"/>
      <c r="O117" s="121">
        <f t="shared" si="2"/>
        <v>22444.6</v>
      </c>
      <c r="P117" s="62"/>
      <c r="Q117" s="468"/>
    </row>
    <row r="118" spans="1:17" s="29" customFormat="1" ht="12.75">
      <c r="A118" s="23" t="s">
        <v>51</v>
      </c>
      <c r="B118" s="265" t="s">
        <v>173</v>
      </c>
      <c r="C118" s="107">
        <f>Feb20!O118</f>
        <v>300</v>
      </c>
      <c r="D118" s="10">
        <f>Feb20!P118:P118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121">
        <f t="shared" si="2"/>
        <v>300</v>
      </c>
      <c r="P118" s="62"/>
      <c r="Q118" s="468"/>
    </row>
    <row r="119" spans="1:17" s="29" customFormat="1" ht="12.75">
      <c r="A119" s="23" t="s">
        <v>539</v>
      </c>
      <c r="B119" s="265" t="s">
        <v>538</v>
      </c>
      <c r="C119" s="107">
        <f>Feb20!O119</f>
        <v>0</v>
      </c>
      <c r="D119" s="10">
        <f>Feb20!P119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121">
        <f t="shared" si="2"/>
        <v>0</v>
      </c>
      <c r="P119" s="62"/>
      <c r="Q119" s="468"/>
    </row>
    <row r="120" spans="1:17" s="29" customFormat="1" ht="12.75">
      <c r="A120" s="23" t="s">
        <v>193</v>
      </c>
      <c r="B120" s="265" t="s">
        <v>190</v>
      </c>
      <c r="C120" s="107">
        <f>Feb20!O120</f>
        <v>18333.34</v>
      </c>
      <c r="D120" s="10">
        <f>Feb20!P120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121">
        <f t="shared" si="2"/>
        <v>27500.010000000002</v>
      </c>
      <c r="P120" s="62"/>
      <c r="Q120" s="468"/>
    </row>
    <row r="121" spans="1:17" s="29" customFormat="1" ht="12.75">
      <c r="A121" s="23" t="s">
        <v>71</v>
      </c>
      <c r="B121" s="265" t="s">
        <v>178</v>
      </c>
      <c r="C121" s="107">
        <f>Feb20!O121</f>
        <v>400</v>
      </c>
      <c r="D121" s="10">
        <f>Feb20!P121:P121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121">
        <f t="shared" si="2"/>
        <v>400</v>
      </c>
      <c r="P121" s="62"/>
      <c r="Q121" s="468"/>
    </row>
    <row r="122" spans="1:17" s="29" customFormat="1" ht="12.75">
      <c r="A122" s="23" t="s">
        <v>30</v>
      </c>
      <c r="B122" s="265" t="s">
        <v>179</v>
      </c>
      <c r="C122" s="107">
        <f>Feb20!O122</f>
        <v>0</v>
      </c>
      <c r="D122" s="10">
        <f>Feb20!P122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121">
        <f t="shared" si="2"/>
        <v>0</v>
      </c>
      <c r="P122" s="62"/>
      <c r="Q122" s="468"/>
    </row>
    <row r="123" spans="1:17" s="29" customFormat="1" ht="12.75">
      <c r="A123" s="23" t="s">
        <v>198</v>
      </c>
      <c r="B123" s="265" t="s">
        <v>199</v>
      </c>
      <c r="C123" s="107">
        <f>Feb20!O123</f>
        <v>0</v>
      </c>
      <c r="D123" s="10">
        <f>Feb20!P123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121">
        <f t="shared" si="2"/>
        <v>0</v>
      </c>
      <c r="P123" s="62"/>
      <c r="Q123" s="468"/>
    </row>
    <row r="124" spans="1:17" s="29" customFormat="1" ht="12.75">
      <c r="A124" s="23" t="s">
        <v>72</v>
      </c>
      <c r="B124" s="265" t="s">
        <v>182</v>
      </c>
      <c r="C124" s="107">
        <f>Feb20!O124</f>
        <v>3200</v>
      </c>
      <c r="D124" s="10">
        <f>Feb20!P124:P124</f>
        <v>0</v>
      </c>
      <c r="E124" s="25">
        <v>189492.65</v>
      </c>
      <c r="F124" s="26"/>
      <c r="G124" s="27"/>
      <c r="H124" s="28"/>
      <c r="I124" s="25"/>
      <c r="J124" s="26"/>
      <c r="K124" s="27"/>
      <c r="L124" s="28"/>
      <c r="M124" s="27"/>
      <c r="N124" s="26"/>
      <c r="O124" s="121">
        <f t="shared" si="2"/>
        <v>192692.65</v>
      </c>
      <c r="P124" s="62"/>
      <c r="Q124" s="468"/>
    </row>
    <row r="125" spans="1:17" s="29" customFormat="1" ht="12.75" hidden="1">
      <c r="A125" s="23" t="s">
        <v>65</v>
      </c>
      <c r="B125" s="265" t="s">
        <v>183</v>
      </c>
      <c r="C125" s="107">
        <f>Feb20!O125</f>
        <v>0</v>
      </c>
      <c r="D125" s="10">
        <f>Feb20!P125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121">
        <f t="shared" si="2"/>
        <v>0</v>
      </c>
      <c r="P125" s="62"/>
      <c r="Q125" s="468"/>
    </row>
    <row r="126" spans="1:17" s="29" customFormat="1" ht="12.75" hidden="1">
      <c r="A126" s="23" t="s">
        <v>180</v>
      </c>
      <c r="B126" s="265" t="s">
        <v>181</v>
      </c>
      <c r="C126" s="107">
        <f>Feb20!O126</f>
        <v>0</v>
      </c>
      <c r="D126" s="10">
        <f>Feb20!P126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121">
        <f t="shared" si="2"/>
        <v>0</v>
      </c>
      <c r="P126" s="62"/>
      <c r="Q126" s="468"/>
    </row>
    <row r="127" spans="1:17" s="29" customFormat="1" ht="12.75" hidden="1">
      <c r="A127" s="23" t="s">
        <v>184</v>
      </c>
      <c r="B127" s="265" t="s">
        <v>185</v>
      </c>
      <c r="C127" s="107">
        <f>Feb20!O127</f>
        <v>0</v>
      </c>
      <c r="D127" s="10">
        <f>Feb20!P127:P127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6"/>
      <c r="O127" s="121">
        <f t="shared" si="2"/>
        <v>0</v>
      </c>
      <c r="P127" s="62"/>
      <c r="Q127" s="468"/>
    </row>
    <row r="128" spans="1:17" s="29" customFormat="1" ht="12.75" hidden="1">
      <c r="A128" s="23" t="s">
        <v>186</v>
      </c>
      <c r="B128" s="265" t="s">
        <v>204</v>
      </c>
      <c r="C128" s="107">
        <f>Feb20!O128</f>
        <v>0</v>
      </c>
      <c r="D128" s="10">
        <f>Feb20!P128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121">
        <f t="shared" si="2"/>
        <v>0</v>
      </c>
      <c r="P128" s="62"/>
      <c r="Q128" s="468"/>
    </row>
    <row r="129" spans="1:17" s="29" customFormat="1" ht="12.75">
      <c r="A129" s="23" t="s">
        <v>219</v>
      </c>
      <c r="B129" s="265" t="s">
        <v>205</v>
      </c>
      <c r="C129" s="107">
        <f>Feb20!O129</f>
        <v>4430</v>
      </c>
      <c r="D129" s="10">
        <f>Feb20!P129</f>
        <v>0</v>
      </c>
      <c r="E129" s="25"/>
      <c r="F129" s="26"/>
      <c r="G129" s="27"/>
      <c r="H129" s="28"/>
      <c r="I129" s="25"/>
      <c r="J129" s="26"/>
      <c r="K129" s="27"/>
      <c r="L129" s="28"/>
      <c r="M129" s="27"/>
      <c r="N129" s="26"/>
      <c r="O129" s="121">
        <f t="shared" si="2"/>
        <v>4430</v>
      </c>
      <c r="P129" s="62"/>
      <c r="Q129" s="468"/>
    </row>
    <row r="130" spans="1:17" s="29" customFormat="1" ht="12.75">
      <c r="A130" s="23" t="s">
        <v>220</v>
      </c>
      <c r="B130" s="265" t="s">
        <v>206</v>
      </c>
      <c r="C130" s="107">
        <f>Feb20!O130</f>
        <v>55510</v>
      </c>
      <c r="D130" s="10">
        <f>Feb20!P130:P130</f>
        <v>0</v>
      </c>
      <c r="E130" s="25"/>
      <c r="F130" s="26"/>
      <c r="G130" s="27"/>
      <c r="H130" s="28"/>
      <c r="I130" s="25"/>
      <c r="J130" s="26"/>
      <c r="K130" s="27"/>
      <c r="L130" s="28"/>
      <c r="M130" s="27"/>
      <c r="N130" s="26"/>
      <c r="O130" s="121">
        <f t="shared" si="2"/>
        <v>55510</v>
      </c>
      <c r="P130" s="62"/>
      <c r="Q130" s="468"/>
    </row>
    <row r="131" spans="1:17" s="29" customFormat="1" ht="12.75">
      <c r="A131" s="23" t="s">
        <v>584</v>
      </c>
      <c r="B131" s="265" t="s">
        <v>585</v>
      </c>
      <c r="C131" s="107">
        <f>Feb20!O131</f>
        <v>0</v>
      </c>
      <c r="D131" s="10">
        <f>Feb20!P131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121">
        <f t="shared" si="2"/>
        <v>0</v>
      </c>
      <c r="P131" s="62"/>
      <c r="Q131" s="468"/>
    </row>
    <row r="132" spans="1:17" s="29" customFormat="1" ht="12.75">
      <c r="A132" s="23" t="s">
        <v>188</v>
      </c>
      <c r="B132" s="265" t="s">
        <v>189</v>
      </c>
      <c r="C132" s="107">
        <f>Feb20!O132</f>
        <v>0</v>
      </c>
      <c r="D132" s="10">
        <f>Feb20!P132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121">
        <f t="shared" si="2"/>
        <v>0</v>
      </c>
      <c r="P132" s="62"/>
      <c r="Q132" s="468"/>
    </row>
    <row r="133" spans="1:17" s="29" customFormat="1" ht="12.75">
      <c r="A133" s="23" t="s">
        <v>229</v>
      </c>
      <c r="B133" s="265" t="s">
        <v>227</v>
      </c>
      <c r="C133" s="107">
        <f>Feb20!O133</f>
        <v>18640</v>
      </c>
      <c r="D133" s="10">
        <f>Feb20!P133:P133</f>
        <v>0</v>
      </c>
      <c r="E133" s="25">
        <v>36000</v>
      </c>
      <c r="F133" s="26"/>
      <c r="G133" s="27"/>
      <c r="H133" s="28"/>
      <c r="I133" s="25"/>
      <c r="J133" s="26"/>
      <c r="K133" s="27"/>
      <c r="L133" s="28"/>
      <c r="M133" s="27"/>
      <c r="N133" s="26"/>
      <c r="O133" s="121">
        <f t="shared" si="2"/>
        <v>54640</v>
      </c>
      <c r="P133" s="62"/>
      <c r="Q133" s="468"/>
    </row>
    <row r="134" spans="1:17" s="29" customFormat="1" ht="12.75">
      <c r="A134" s="23" t="s">
        <v>64</v>
      </c>
      <c r="B134" s="265" t="s">
        <v>187</v>
      </c>
      <c r="C134" s="107">
        <f>Feb20!O134</f>
        <v>0</v>
      </c>
      <c r="D134" s="10">
        <f>Feb20!P134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121">
        <f t="shared" si="2"/>
        <v>0</v>
      </c>
      <c r="P134" s="62"/>
      <c r="Q134" s="468"/>
    </row>
    <row r="135" spans="1:17" s="29" customFormat="1" ht="12.75">
      <c r="A135" s="23" t="s">
        <v>587</v>
      </c>
      <c r="B135" s="265" t="s">
        <v>586</v>
      </c>
      <c r="C135" s="107">
        <f>Feb20!O135</f>
        <v>0</v>
      </c>
      <c r="D135" s="10">
        <f>Feb20!P135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121">
        <f t="shared" si="2"/>
        <v>0</v>
      </c>
      <c r="P135" s="62"/>
      <c r="Q135" s="468"/>
    </row>
    <row r="136" spans="1:17" s="29" customFormat="1" ht="12.75">
      <c r="A136" s="23" t="s">
        <v>233</v>
      </c>
      <c r="B136" s="265" t="s">
        <v>232</v>
      </c>
      <c r="C136" s="107">
        <f>Feb20!O136</f>
        <v>5356814.09</v>
      </c>
      <c r="D136" s="10">
        <f>Feb20!P136:P136</f>
        <v>0</v>
      </c>
      <c r="E136" s="25">
        <v>37647239.57</v>
      </c>
      <c r="F136" s="26"/>
      <c r="G136" s="27"/>
      <c r="H136" s="28"/>
      <c r="I136" s="25"/>
      <c r="J136" s="26"/>
      <c r="K136" s="27"/>
      <c r="L136" s="28"/>
      <c r="M136" s="27"/>
      <c r="N136" s="26"/>
      <c r="O136" s="121">
        <f t="shared" si="2"/>
        <v>43004053.66</v>
      </c>
      <c r="P136" s="62"/>
      <c r="Q136" s="468"/>
    </row>
    <row r="137" spans="1:16" s="29" customFormat="1" ht="12.75">
      <c r="A137" s="23" t="s">
        <v>69</v>
      </c>
      <c r="B137" s="265" t="s">
        <v>191</v>
      </c>
      <c r="C137" s="107">
        <f>Feb20!O137</f>
        <v>0</v>
      </c>
      <c r="D137" s="10">
        <f>Feb20!P137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121">
        <f t="shared" si="2"/>
        <v>0</v>
      </c>
      <c r="P137" s="62"/>
    </row>
    <row r="138" spans="1:16" s="29" customFormat="1" ht="12.75">
      <c r="A138" s="23" t="s">
        <v>211</v>
      </c>
      <c r="B138" s="265" t="s">
        <v>212</v>
      </c>
      <c r="C138" s="107">
        <f>Feb20!O138</f>
        <v>0</v>
      </c>
      <c r="D138" s="10">
        <f>Feb20!P138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121">
        <f t="shared" si="2"/>
        <v>0</v>
      </c>
      <c r="P138" s="62"/>
    </row>
    <row r="139" spans="1:16" s="29" customFormat="1" ht="12.75">
      <c r="A139" s="23" t="s">
        <v>540</v>
      </c>
      <c r="B139" s="265" t="s">
        <v>523</v>
      </c>
      <c r="C139" s="107">
        <f>Feb20!O139</f>
        <v>0</v>
      </c>
      <c r="D139" s="10">
        <f>Feb20!P139:P139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121">
        <f t="shared" si="2"/>
        <v>0</v>
      </c>
      <c r="P139" s="62"/>
    </row>
    <row r="140" spans="1:16" s="29" customFormat="1" ht="12.75">
      <c r="A140" s="23" t="s">
        <v>73</v>
      </c>
      <c r="B140" s="265" t="s">
        <v>192</v>
      </c>
      <c r="C140" s="107">
        <f>Feb20!O140</f>
        <v>67743.04000000001</v>
      </c>
      <c r="D140" s="10">
        <f>Feb20!P140</f>
        <v>0</v>
      </c>
      <c r="E140" s="25">
        <v>20160</v>
      </c>
      <c r="F140" s="26"/>
      <c r="G140" s="27"/>
      <c r="H140" s="28"/>
      <c r="I140" s="25"/>
      <c r="J140" s="26"/>
      <c r="K140" s="27"/>
      <c r="L140" s="28"/>
      <c r="M140" s="27"/>
      <c r="N140" s="26"/>
      <c r="O140" s="121">
        <f t="shared" si="2"/>
        <v>87903.04000000001</v>
      </c>
      <c r="P140" s="62"/>
    </row>
    <row r="141" spans="1:16" s="29" customFormat="1" ht="12.75">
      <c r="A141" s="23" t="s">
        <v>38</v>
      </c>
      <c r="B141" s="265" t="s">
        <v>175</v>
      </c>
      <c r="C141" s="107">
        <f>Feb20!O141</f>
        <v>0</v>
      </c>
      <c r="D141" s="10">
        <f>Feb20!P141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121">
        <f t="shared" si="2"/>
        <v>0</v>
      </c>
      <c r="P141" s="62"/>
    </row>
    <row r="142" spans="1:16" s="29" customFormat="1" ht="12.75">
      <c r="A142" s="23" t="s">
        <v>62</v>
      </c>
      <c r="B142" s="265" t="s">
        <v>176</v>
      </c>
      <c r="C142" s="107">
        <f>Feb20!O142</f>
        <v>0</v>
      </c>
      <c r="D142" s="10">
        <f>Feb20!P142:P142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121">
        <f t="shared" si="2"/>
        <v>0</v>
      </c>
      <c r="P142" s="62"/>
    </row>
    <row r="143" spans="1:16" s="29" customFormat="1" ht="12.75">
      <c r="A143" s="23" t="s">
        <v>63</v>
      </c>
      <c r="B143" s="265" t="s">
        <v>177</v>
      </c>
      <c r="C143" s="107">
        <f>Feb20!O143</f>
        <v>760</v>
      </c>
      <c r="D143" s="10">
        <f>Feb20!P143</f>
        <v>0</v>
      </c>
      <c r="E143" s="25">
        <v>700</v>
      </c>
      <c r="F143" s="26"/>
      <c r="G143" s="27"/>
      <c r="H143" s="28"/>
      <c r="I143" s="25"/>
      <c r="J143" s="26"/>
      <c r="K143" s="27"/>
      <c r="L143" s="28"/>
      <c r="M143" s="27"/>
      <c r="N143" s="26"/>
      <c r="O143" s="121">
        <f t="shared" si="2"/>
        <v>1460</v>
      </c>
      <c r="P143" s="62"/>
    </row>
    <row r="144" spans="1:16" s="29" customFormat="1" ht="12.75">
      <c r="A144" s="23" t="s">
        <v>560</v>
      </c>
      <c r="B144" s="265" t="s">
        <v>561</v>
      </c>
      <c r="C144" s="107">
        <f>Feb20!O144</f>
        <v>0</v>
      </c>
      <c r="D144" s="10">
        <f>Feb20!P144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6"/>
      <c r="O144" s="121">
        <f t="shared" si="2"/>
        <v>0</v>
      </c>
      <c r="P144" s="62"/>
    </row>
    <row r="145" spans="1:16" s="29" customFormat="1" ht="12.75">
      <c r="A145" s="23" t="s">
        <v>53</v>
      </c>
      <c r="B145" s="265" t="s">
        <v>528</v>
      </c>
      <c r="C145" s="107">
        <f>Feb20!O145</f>
        <v>0</v>
      </c>
      <c r="D145" s="10">
        <f>Feb20!P145:P145</f>
        <v>0</v>
      </c>
      <c r="E145" s="25"/>
      <c r="F145" s="26"/>
      <c r="G145" s="27"/>
      <c r="H145" s="28"/>
      <c r="I145" s="25"/>
      <c r="J145" s="26"/>
      <c r="K145" s="27"/>
      <c r="L145" s="28"/>
      <c r="M145" s="27"/>
      <c r="N145" s="26"/>
      <c r="O145" s="121">
        <f t="shared" si="2"/>
        <v>0</v>
      </c>
      <c r="P145" s="62"/>
    </row>
    <row r="146" spans="1:16" s="29" customFormat="1" ht="12.75">
      <c r="A146" s="23" t="s">
        <v>701</v>
      </c>
      <c r="B146" s="265" t="s">
        <v>702</v>
      </c>
      <c r="C146" s="107"/>
      <c r="D146" s="10"/>
      <c r="E146" s="25"/>
      <c r="F146" s="26"/>
      <c r="G146" s="27"/>
      <c r="H146" s="28"/>
      <c r="I146" s="25"/>
      <c r="J146" s="26"/>
      <c r="K146" s="27"/>
      <c r="L146" s="28"/>
      <c r="M146" s="27"/>
      <c r="N146" s="26"/>
      <c r="O146" s="121">
        <f t="shared" si="2"/>
        <v>0</v>
      </c>
      <c r="P146" s="62"/>
    </row>
    <row r="147" spans="1:16" s="29" customFormat="1" ht="12.75">
      <c r="A147" s="23" t="s">
        <v>68</v>
      </c>
      <c r="B147" s="265" t="s">
        <v>174</v>
      </c>
      <c r="C147" s="107">
        <f>Feb20!O147</f>
        <v>0</v>
      </c>
      <c r="D147" s="10">
        <f>Feb20!P147</f>
        <v>0</v>
      </c>
      <c r="E147" s="25"/>
      <c r="F147" s="26"/>
      <c r="G147" s="27"/>
      <c r="H147" s="28"/>
      <c r="I147" s="25"/>
      <c r="J147" s="26"/>
      <c r="K147" s="27"/>
      <c r="L147" s="28"/>
      <c r="M147" s="27"/>
      <c r="N147" s="26"/>
      <c r="O147" s="121">
        <f t="shared" si="2"/>
        <v>0</v>
      </c>
      <c r="P147" s="62"/>
    </row>
    <row r="148" spans="1:16" s="29" customFormat="1" ht="12.75">
      <c r="A148" s="23" t="s">
        <v>244</v>
      </c>
      <c r="B148" s="265" t="s">
        <v>237</v>
      </c>
      <c r="C148" s="107">
        <f>Feb20!O148</f>
        <v>0</v>
      </c>
      <c r="D148" s="10">
        <f>Feb20!P148</f>
        <v>0</v>
      </c>
      <c r="E148" s="25"/>
      <c r="F148" s="26"/>
      <c r="G148" s="27"/>
      <c r="H148" s="28"/>
      <c r="I148" s="25"/>
      <c r="J148" s="26"/>
      <c r="K148" s="27"/>
      <c r="L148" s="28"/>
      <c r="M148" s="27"/>
      <c r="N148" s="26"/>
      <c r="O148" s="121">
        <f t="shared" si="2"/>
        <v>0</v>
      </c>
      <c r="P148" s="62"/>
    </row>
    <row r="149" spans="1:16" s="29" customFormat="1" ht="12.75">
      <c r="A149" s="23" t="s">
        <v>23</v>
      </c>
      <c r="B149" s="265" t="s">
        <v>524</v>
      </c>
      <c r="C149" s="107">
        <f>Feb20!O149</f>
        <v>191869.13</v>
      </c>
      <c r="D149" s="10">
        <f>Feb20!P149:P149</f>
        <v>0</v>
      </c>
      <c r="E149" s="25">
        <v>69175.75</v>
      </c>
      <c r="F149" s="26"/>
      <c r="G149" s="27"/>
      <c r="H149" s="28"/>
      <c r="I149" s="25"/>
      <c r="J149" s="26"/>
      <c r="K149" s="27"/>
      <c r="L149" s="28"/>
      <c r="M149" s="27"/>
      <c r="N149" s="26"/>
      <c r="O149" s="121">
        <f t="shared" si="2"/>
        <v>261044.88</v>
      </c>
      <c r="P149" s="62"/>
    </row>
    <row r="150" spans="1:16" s="29" customFormat="1" ht="12.75">
      <c r="A150" s="23" t="s">
        <v>245</v>
      </c>
      <c r="B150" s="265" t="s">
        <v>525</v>
      </c>
      <c r="C150" s="107">
        <f>Feb20!O150</f>
        <v>0</v>
      </c>
      <c r="D150" s="10">
        <f>Feb20!P150</f>
        <v>0</v>
      </c>
      <c r="E150" s="25"/>
      <c r="F150" s="26"/>
      <c r="G150" s="27"/>
      <c r="H150" s="28"/>
      <c r="I150" s="25"/>
      <c r="J150" s="26"/>
      <c r="K150" s="27"/>
      <c r="L150" s="28"/>
      <c r="M150" s="27"/>
      <c r="N150" s="26"/>
      <c r="O150" s="121">
        <f t="shared" si="2"/>
        <v>0</v>
      </c>
      <c r="P150" s="62"/>
    </row>
    <row r="151" spans="1:16" s="29" customFormat="1" ht="12.75">
      <c r="A151" s="8" t="s">
        <v>214</v>
      </c>
      <c r="B151" s="265" t="s">
        <v>574</v>
      </c>
      <c r="C151" s="107">
        <f>Feb20!O151</f>
        <v>0</v>
      </c>
      <c r="D151" s="10">
        <f>Feb20!P151</f>
        <v>0</v>
      </c>
      <c r="E151" s="25"/>
      <c r="F151" s="26"/>
      <c r="G151" s="27"/>
      <c r="H151" s="28"/>
      <c r="I151" s="25"/>
      <c r="J151" s="26"/>
      <c r="K151" s="27"/>
      <c r="L151" s="28"/>
      <c r="M151" s="27"/>
      <c r="N151" s="26"/>
      <c r="O151" s="121">
        <f t="shared" si="2"/>
        <v>0</v>
      </c>
      <c r="P151" s="62"/>
    </row>
    <row r="152" spans="1:16" s="29" customFormat="1" ht="12.75">
      <c r="A152" s="8" t="s">
        <v>77</v>
      </c>
      <c r="B152" s="265" t="s">
        <v>575</v>
      </c>
      <c r="C152" s="107">
        <f>Feb20!O152</f>
        <v>0</v>
      </c>
      <c r="D152" s="10">
        <f>Feb20!P152:P152</f>
        <v>0</v>
      </c>
      <c r="E152" s="25"/>
      <c r="F152" s="26"/>
      <c r="G152" s="27"/>
      <c r="H152" s="28"/>
      <c r="I152" s="25"/>
      <c r="J152" s="26"/>
      <c r="K152" s="27"/>
      <c r="L152" s="28"/>
      <c r="M152" s="27"/>
      <c r="N152" s="26"/>
      <c r="O152" s="121">
        <f t="shared" si="2"/>
        <v>0</v>
      </c>
      <c r="P152" s="62"/>
    </row>
    <row r="153" spans="1:16" s="29" customFormat="1" ht="12.75">
      <c r="A153" s="8" t="s">
        <v>78</v>
      </c>
      <c r="B153" s="265" t="s">
        <v>576</v>
      </c>
      <c r="C153" s="107">
        <f>Feb20!O153</f>
        <v>0</v>
      </c>
      <c r="D153" s="10">
        <f>Feb20!P153</f>
        <v>0</v>
      </c>
      <c r="E153" s="25"/>
      <c r="F153" s="26"/>
      <c r="G153" s="27"/>
      <c r="H153" s="28"/>
      <c r="I153" s="25"/>
      <c r="J153" s="26"/>
      <c r="K153" s="27"/>
      <c r="L153" s="28"/>
      <c r="M153" s="27"/>
      <c r="N153" s="26"/>
      <c r="O153" s="121">
        <f t="shared" si="2"/>
        <v>0</v>
      </c>
      <c r="P153" s="62"/>
    </row>
    <row r="154" spans="1:16" s="29" customFormat="1" ht="12.75">
      <c r="A154" s="8" t="s">
        <v>79</v>
      </c>
      <c r="B154" s="265" t="s">
        <v>577</v>
      </c>
      <c r="C154" s="107">
        <f>Feb20!O154</f>
        <v>0</v>
      </c>
      <c r="D154" s="10">
        <f>Feb20!P154</f>
        <v>0</v>
      </c>
      <c r="E154" s="25"/>
      <c r="F154" s="26"/>
      <c r="G154" s="27"/>
      <c r="H154" s="28"/>
      <c r="I154" s="25"/>
      <c r="J154" s="26"/>
      <c r="K154" s="27"/>
      <c r="L154" s="28"/>
      <c r="M154" s="27"/>
      <c r="N154" s="26"/>
      <c r="O154" s="121">
        <f t="shared" si="2"/>
        <v>0</v>
      </c>
      <c r="P154" s="62"/>
    </row>
    <row r="155" spans="1:16" s="29" customFormat="1" ht="12.75">
      <c r="A155" s="8" t="s">
        <v>578</v>
      </c>
      <c r="B155" s="265" t="s">
        <v>579</v>
      </c>
      <c r="C155" s="107">
        <f>Feb20!O155</f>
        <v>0</v>
      </c>
      <c r="D155" s="10">
        <f>Feb20!P155:P155</f>
        <v>0</v>
      </c>
      <c r="E155" s="25"/>
      <c r="F155" s="26"/>
      <c r="G155" s="27"/>
      <c r="H155" s="28"/>
      <c r="I155" s="25"/>
      <c r="J155" s="26"/>
      <c r="K155" s="27"/>
      <c r="L155" s="28"/>
      <c r="M155" s="27"/>
      <c r="N155" s="26"/>
      <c r="O155" s="121">
        <f t="shared" si="2"/>
        <v>0</v>
      </c>
      <c r="P155" s="62"/>
    </row>
    <row r="156" spans="1:16" s="29" customFormat="1" ht="12.75" customHeight="1">
      <c r="A156" s="8" t="s">
        <v>580</v>
      </c>
      <c r="B156" s="265" t="s">
        <v>581</v>
      </c>
      <c r="C156" s="107">
        <f>Feb20!O156</f>
        <v>0</v>
      </c>
      <c r="D156" s="10">
        <f>Feb20!P156</f>
        <v>0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121">
        <f>C156+E156+I156+M156-D156-F156-J156-N156+G156-H156+K156-L156</f>
        <v>0</v>
      </c>
      <c r="P156" s="62"/>
    </row>
    <row r="157" spans="1:16" s="29" customFormat="1" ht="13.5" thickBot="1">
      <c r="A157" s="8" t="s">
        <v>82</v>
      </c>
      <c r="B157" s="265" t="s">
        <v>582</v>
      </c>
      <c r="C157" s="107">
        <f>Feb20!O157</f>
        <v>0</v>
      </c>
      <c r="D157" s="10">
        <f>Feb20!P157</f>
        <v>0</v>
      </c>
      <c r="E157" s="63"/>
      <c r="F157" s="25"/>
      <c r="G157" s="61"/>
      <c r="H157" s="62"/>
      <c r="I157" s="63"/>
      <c r="J157" s="25"/>
      <c r="K157" s="61"/>
      <c r="L157" s="62"/>
      <c r="M157" s="61"/>
      <c r="N157" s="25"/>
      <c r="O157" s="121">
        <f>C157+E157+I157+M157-D157-F157-J157-N157+G157-H157+K157-L157</f>
        <v>0</v>
      </c>
      <c r="P157" s="62"/>
    </row>
    <row r="158" spans="1:16" s="29" customFormat="1" ht="15" customHeight="1" thickBot="1">
      <c r="A158" s="256"/>
      <c r="B158" s="268"/>
      <c r="C158" s="258">
        <f>SUM(C14:C157)</f>
        <v>130843968.19000001</v>
      </c>
      <c r="D158" s="258">
        <f>SUM(D14:D157)</f>
        <v>130843968.19</v>
      </c>
      <c r="E158" s="125">
        <f>SUM(E14:E156)</f>
        <v>40823443.35</v>
      </c>
      <c r="F158" s="126">
        <f aca="true" t="shared" si="3" ref="F158:L158">SUM(F14:F156)</f>
        <v>40823443.35000001</v>
      </c>
      <c r="G158" s="125">
        <f>SUM(G14:G156)</f>
        <v>0</v>
      </c>
      <c r="H158" s="126">
        <f t="shared" si="3"/>
        <v>0</v>
      </c>
      <c r="I158" s="125">
        <f t="shared" si="3"/>
        <v>0</v>
      </c>
      <c r="J158" s="126">
        <f t="shared" si="3"/>
        <v>0</v>
      </c>
      <c r="K158" s="125">
        <f t="shared" si="3"/>
        <v>697916.25</v>
      </c>
      <c r="L158" s="126">
        <f t="shared" si="3"/>
        <v>697916.25</v>
      </c>
      <c r="M158" s="125">
        <f>SUM(M14:M157)</f>
        <v>23896951.43</v>
      </c>
      <c r="N158" s="127">
        <f>SUM(N16:N157)</f>
        <v>23896951.43</v>
      </c>
      <c r="O158" s="128">
        <f>SUM(O14:O157)</f>
        <v>147493650.29</v>
      </c>
      <c r="P158" s="129">
        <f>SUM(P14:P157)</f>
        <v>147493650.29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1" spans="1:16" s="29" customFormat="1" ht="12.75">
      <c r="A161" s="16" t="s">
        <v>25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" t="s">
        <v>55</v>
      </c>
      <c r="P161" s="30"/>
    </row>
    <row r="162" spans="1:16" s="29" customFormat="1" ht="12.75">
      <c r="A162" s="1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99"/>
      <c r="P162" s="30"/>
    </row>
    <row r="163" spans="1:16" s="29" customFormat="1" ht="12.75">
      <c r="A163" s="16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00"/>
      <c r="P163" s="30"/>
    </row>
    <row r="164" spans="1:16" s="29" customFormat="1" ht="12.75">
      <c r="A164" s="17" t="s">
        <v>658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0" t="s">
        <v>696</v>
      </c>
      <c r="P164" s="30"/>
    </row>
    <row r="165" spans="1:16" s="29" customFormat="1" ht="12.75">
      <c r="A165" s="16" t="s">
        <v>697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" t="s">
        <v>224</v>
      </c>
      <c r="P165" s="30"/>
    </row>
  </sheetData>
  <sheetProtection/>
  <mergeCells count="16">
    <mergeCell ref="A9:P9"/>
    <mergeCell ref="A10:A11"/>
    <mergeCell ref="C10:D10"/>
    <mergeCell ref="E10:F10"/>
    <mergeCell ref="G10:H10"/>
    <mergeCell ref="I10:J10"/>
    <mergeCell ref="K10:L10"/>
    <mergeCell ref="M10:N10"/>
    <mergeCell ref="O10:O11"/>
    <mergeCell ref="P10:P11"/>
    <mergeCell ref="A2:P2"/>
    <mergeCell ref="A3:P3"/>
    <mergeCell ref="A5:P5"/>
    <mergeCell ref="A6:P6"/>
    <mergeCell ref="A7:P7"/>
    <mergeCell ref="A8:P8"/>
  </mergeCells>
  <printOptions horizontalCentered="1"/>
  <pageMargins left="0.17" right="0.17" top="0.12" bottom="0.12" header="0.18" footer="0.12"/>
  <pageSetup horizontalDpi="300" verticalDpi="300" orientation="portrait" paperSize="9" scale="95" r:id="rId1"/>
  <headerFooter alignWithMargins="0">
    <oddFooter>&amp;C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25">
      <selection activeCell="A1" sqref="A1:G55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4.140625" style="1" customWidth="1"/>
    <col min="4" max="4" width="16.421875" style="1" bestFit="1" customWidth="1"/>
    <col min="5" max="5" width="1.7109375" style="1" customWidth="1"/>
    <col min="6" max="6" width="19.7109375" style="89" customWidth="1"/>
    <col min="7" max="7" width="11.28125" style="1" bestFit="1" customWidth="1"/>
    <col min="8" max="16384" width="9.140625" style="1" customWidth="1"/>
  </cols>
  <sheetData>
    <row r="1" spans="1:6" ht="15">
      <c r="A1" s="555" t="s">
        <v>1</v>
      </c>
      <c r="B1" s="555"/>
      <c r="C1" s="555"/>
      <c r="D1" s="555"/>
      <c r="E1" s="555"/>
      <c r="F1" s="555"/>
    </row>
    <row r="2" spans="1:6" ht="12.75">
      <c r="A2" s="551" t="s">
        <v>545</v>
      </c>
      <c r="B2" s="551"/>
      <c r="C2" s="551"/>
      <c r="D2" s="551"/>
      <c r="E2" s="551"/>
      <c r="F2" s="551"/>
    </row>
    <row r="3" spans="1:6" ht="12.75">
      <c r="A3" s="552" t="s">
        <v>215</v>
      </c>
      <c r="B3" s="552"/>
      <c r="C3" s="552"/>
      <c r="D3" s="552"/>
      <c r="E3" s="552"/>
      <c r="F3" s="552"/>
    </row>
    <row r="4" spans="1:6" ht="12.75">
      <c r="A4" s="552" t="str">
        <f>'DetSFP 4th Qtr'!A4:F4</f>
        <v>As of December 31, 2020</v>
      </c>
      <c r="B4" s="552"/>
      <c r="C4" s="552"/>
      <c r="D4" s="552"/>
      <c r="E4" s="552"/>
      <c r="F4" s="552"/>
    </row>
    <row r="7" spans="1:6" ht="12.75">
      <c r="A7" s="551" t="s">
        <v>9</v>
      </c>
      <c r="B7" s="551"/>
      <c r="C7" s="551"/>
      <c r="D7" s="551"/>
      <c r="E7" s="551"/>
      <c r="F7" s="551"/>
    </row>
    <row r="8" spans="4:7" ht="12.75">
      <c r="D8" s="78"/>
      <c r="E8" s="78"/>
      <c r="F8" s="32"/>
      <c r="G8" s="78"/>
    </row>
    <row r="9" spans="1:7" ht="12.75">
      <c r="A9" s="408" t="s">
        <v>9</v>
      </c>
      <c r="B9" s="409"/>
      <c r="C9" s="410"/>
      <c r="D9" s="411"/>
      <c r="E9" s="411"/>
      <c r="F9" s="412"/>
      <c r="G9" s="78"/>
    </row>
    <row r="10" spans="1:7" ht="12.75">
      <c r="A10" s="409"/>
      <c r="B10" s="410" t="s">
        <v>83</v>
      </c>
      <c r="C10" s="410"/>
      <c r="D10" s="411"/>
      <c r="E10" s="411"/>
      <c r="F10" s="412"/>
      <c r="G10" s="78"/>
    </row>
    <row r="11" spans="1:7" ht="12.75">
      <c r="A11" s="413"/>
      <c r="B11" s="414" t="s">
        <v>296</v>
      </c>
      <c r="C11" s="409"/>
      <c r="D11" s="409"/>
      <c r="E11" s="415"/>
      <c r="F11" s="412">
        <f>'DetSFP 4th Qtr'!F9</f>
        <v>4266701.649999969</v>
      </c>
      <c r="G11" s="78"/>
    </row>
    <row r="12" spans="1:7" ht="12.75" customHeight="1" hidden="1">
      <c r="A12" s="413"/>
      <c r="B12" s="416" t="s">
        <v>302</v>
      </c>
      <c r="C12" s="380"/>
      <c r="D12" s="380"/>
      <c r="E12" s="415"/>
      <c r="F12" s="412" t="s">
        <v>355</v>
      </c>
      <c r="G12" s="78"/>
    </row>
    <row r="13" spans="1:7" ht="12.75">
      <c r="A13" s="417"/>
      <c r="B13" s="418" t="s">
        <v>84</v>
      </c>
      <c r="C13" s="409"/>
      <c r="D13" s="368"/>
      <c r="E13" s="415"/>
      <c r="F13" s="406">
        <f>'DetSFP 4th Qtr'!F21</f>
        <v>25869581.349999998</v>
      </c>
      <c r="G13" s="78"/>
    </row>
    <row r="14" spans="1:7" ht="12.75">
      <c r="A14" s="419"/>
      <c r="B14" s="414" t="s">
        <v>85</v>
      </c>
      <c r="C14" s="409"/>
      <c r="D14" s="368"/>
      <c r="E14" s="415"/>
      <c r="F14" s="412">
        <f>'DetSFP 4th Qtr'!F27</f>
        <v>101354</v>
      </c>
      <c r="G14" s="78"/>
    </row>
    <row r="15" spans="1:7" ht="12.75">
      <c r="A15" s="413"/>
      <c r="B15" s="416" t="s">
        <v>308</v>
      </c>
      <c r="C15" s="380"/>
      <c r="D15" s="380"/>
      <c r="E15" s="415"/>
      <c r="F15" s="412">
        <f>'DetSFP 4th Qtr'!F42</f>
        <v>10678</v>
      </c>
      <c r="G15" s="78"/>
    </row>
    <row r="16" spans="1:7" ht="12.75">
      <c r="A16" s="420"/>
      <c r="B16" s="421" t="s">
        <v>316</v>
      </c>
      <c r="C16" s="422"/>
      <c r="D16" s="409"/>
      <c r="E16" s="409"/>
      <c r="F16" s="405">
        <f>SUM(F11:F15)</f>
        <v>30248314.999999966</v>
      </c>
      <c r="G16" s="78"/>
    </row>
    <row r="17" spans="1:7" ht="12.75">
      <c r="A17" s="420"/>
      <c r="B17" s="423"/>
      <c r="C17" s="422"/>
      <c r="D17" s="409"/>
      <c r="E17" s="409"/>
      <c r="F17" s="32"/>
      <c r="G17" s="78"/>
    </row>
    <row r="18" spans="1:7" ht="14.25" customHeight="1">
      <c r="A18" s="422"/>
      <c r="B18" s="410" t="s">
        <v>317</v>
      </c>
      <c r="C18" s="422"/>
      <c r="D18" s="409"/>
      <c r="E18" s="409"/>
      <c r="F18" s="32"/>
      <c r="G18" s="78"/>
    </row>
    <row r="19" spans="1:7" ht="12.75">
      <c r="A19" s="413"/>
      <c r="B19" s="416" t="s">
        <v>302</v>
      </c>
      <c r="C19" s="380"/>
      <c r="D19" s="380"/>
      <c r="E19" s="415"/>
      <c r="F19" s="412">
        <v>0</v>
      </c>
      <c r="G19" s="78"/>
    </row>
    <row r="20" spans="1:7" ht="12.75">
      <c r="A20" s="419"/>
      <c r="B20" s="367" t="s">
        <v>318</v>
      </c>
      <c r="C20" s="409"/>
      <c r="D20" s="368"/>
      <c r="E20" s="415"/>
      <c r="F20" s="412">
        <v>0</v>
      </c>
      <c r="G20" s="78"/>
    </row>
    <row r="21" spans="1:7" ht="12.75">
      <c r="A21" s="419"/>
      <c r="B21" s="367" t="s">
        <v>86</v>
      </c>
      <c r="C21" s="409"/>
      <c r="D21" s="409"/>
      <c r="E21" s="415"/>
      <c r="F21" s="412">
        <f>'DetSFP 4th Qtr'!F54</f>
        <v>51354801.42000001</v>
      </c>
      <c r="G21" s="78"/>
    </row>
    <row r="22" spans="1:7" ht="12.75">
      <c r="A22" s="419"/>
      <c r="B22" s="367" t="s">
        <v>333</v>
      </c>
      <c r="C22" s="424"/>
      <c r="D22" s="424"/>
      <c r="E22" s="415"/>
      <c r="F22" s="412">
        <v>0</v>
      </c>
      <c r="G22" s="78"/>
    </row>
    <row r="23" spans="1:7" ht="12.75">
      <c r="A23" s="419"/>
      <c r="B23" s="367" t="s">
        <v>334</v>
      </c>
      <c r="C23" s="424"/>
      <c r="D23" s="424"/>
      <c r="E23" s="415"/>
      <c r="F23" s="412">
        <v>0</v>
      </c>
      <c r="G23" s="78"/>
    </row>
    <row r="24" spans="1:7" ht="12.75">
      <c r="A24" s="419"/>
      <c r="B24" s="367" t="s">
        <v>335</v>
      </c>
      <c r="C24" s="409"/>
      <c r="D24" s="368"/>
      <c r="E24" s="415"/>
      <c r="F24" s="412">
        <v>0</v>
      </c>
      <c r="G24" s="78"/>
    </row>
    <row r="25" spans="1:7" ht="12.75">
      <c r="A25" s="404"/>
      <c r="B25" s="421" t="s">
        <v>337</v>
      </c>
      <c r="C25" s="425"/>
      <c r="D25" s="425"/>
      <c r="E25" s="423"/>
      <c r="F25" s="405">
        <f>SUM(F19:F24)</f>
        <v>51354801.42000001</v>
      </c>
      <c r="G25" s="78"/>
    </row>
    <row r="26" spans="1:7" ht="12.75">
      <c r="A26" s="404"/>
      <c r="B26" s="409"/>
      <c r="C26" s="425"/>
      <c r="D26" s="425"/>
      <c r="E26" s="423"/>
      <c r="F26" s="406"/>
      <c r="G26" s="78"/>
    </row>
    <row r="27" spans="1:7" ht="12.75">
      <c r="A27" s="404"/>
      <c r="B27" s="426" t="s">
        <v>356</v>
      </c>
      <c r="C27" s="427"/>
      <c r="D27" s="427"/>
      <c r="E27" s="428"/>
      <c r="F27" s="429">
        <f>+F16+F25</f>
        <v>81603116.41999997</v>
      </c>
      <c r="G27" s="78"/>
    </row>
    <row r="28" spans="1:7" ht="12.75">
      <c r="A28" s="404"/>
      <c r="B28" s="411"/>
      <c r="C28" s="425"/>
      <c r="D28" s="425"/>
      <c r="E28" s="423"/>
      <c r="F28" s="32"/>
      <c r="G28" s="78"/>
    </row>
    <row r="29" spans="1:7" ht="12.75">
      <c r="A29" s="589" t="s">
        <v>16</v>
      </c>
      <c r="B29" s="589"/>
      <c r="C29" s="589"/>
      <c r="D29" s="589"/>
      <c r="E29" s="411"/>
      <c r="F29" s="32"/>
      <c r="G29" s="78"/>
    </row>
    <row r="30" spans="1:7" ht="12.75">
      <c r="A30" s="410"/>
      <c r="B30" s="410" t="s">
        <v>89</v>
      </c>
      <c r="C30" s="410"/>
      <c r="D30" s="410"/>
      <c r="E30" s="411"/>
      <c r="F30" s="32"/>
      <c r="G30" s="78"/>
    </row>
    <row r="31" spans="1:7" ht="12.75">
      <c r="A31" s="420"/>
      <c r="B31" s="367" t="s">
        <v>339</v>
      </c>
      <c r="C31" s="409"/>
      <c r="D31" s="368"/>
      <c r="E31" s="415"/>
      <c r="F31" s="412">
        <f>'DetSFP 4th Qtr'!F123</f>
        <v>35250</v>
      </c>
      <c r="G31" s="78"/>
    </row>
    <row r="32" spans="1:7" ht="12.75">
      <c r="A32" s="420"/>
      <c r="B32" s="367" t="s">
        <v>341</v>
      </c>
      <c r="C32" s="409"/>
      <c r="D32" s="368"/>
      <c r="E32" s="415"/>
      <c r="F32" s="412">
        <f>'DetSFP 4th Qtr'!F127</f>
        <v>1252313.2100000004</v>
      </c>
      <c r="G32" s="78"/>
    </row>
    <row r="33" spans="1:8" ht="12.75">
      <c r="A33" s="420"/>
      <c r="B33" s="367" t="s">
        <v>344</v>
      </c>
      <c r="C33" s="409"/>
      <c r="D33" s="368"/>
      <c r="E33" s="415"/>
      <c r="F33" s="412">
        <v>0</v>
      </c>
      <c r="G33" s="3"/>
      <c r="H33" s="3"/>
    </row>
    <row r="34" spans="1:8" ht="12.75">
      <c r="A34" s="420"/>
      <c r="B34" s="367" t="s">
        <v>345</v>
      </c>
      <c r="C34" s="409"/>
      <c r="D34" s="368"/>
      <c r="E34" s="415"/>
      <c r="F34" s="412">
        <v>0</v>
      </c>
      <c r="G34" s="3"/>
      <c r="H34" s="3"/>
    </row>
    <row r="35" spans="1:8" ht="12.75">
      <c r="A35" s="420"/>
      <c r="B35" s="367" t="s">
        <v>346</v>
      </c>
      <c r="C35" s="409"/>
      <c r="D35" s="368"/>
      <c r="E35" s="415"/>
      <c r="F35" s="412">
        <v>0</v>
      </c>
      <c r="G35" s="3"/>
      <c r="H35" s="3"/>
    </row>
    <row r="36" spans="1:8" ht="12.75">
      <c r="A36" s="420"/>
      <c r="B36" s="367" t="s">
        <v>17</v>
      </c>
      <c r="C36" s="409"/>
      <c r="D36" s="368"/>
      <c r="E36" s="415"/>
      <c r="F36" s="430">
        <f>'DetSFP 4th Qtr'!F137</f>
        <v>469526.4</v>
      </c>
      <c r="G36" s="3"/>
      <c r="H36" s="3"/>
    </row>
    <row r="37" spans="1:8" ht="12.75">
      <c r="A37" s="420"/>
      <c r="B37" s="367"/>
      <c r="C37" s="409"/>
      <c r="D37" s="368"/>
      <c r="E37" s="409"/>
      <c r="F37" s="32"/>
      <c r="G37" s="3"/>
      <c r="H37" s="3"/>
    </row>
    <row r="38" spans="1:7" ht="12.75">
      <c r="A38" s="420"/>
      <c r="B38" s="421" t="s">
        <v>347</v>
      </c>
      <c r="C38" s="409"/>
      <c r="D38" s="368"/>
      <c r="E38" s="409"/>
      <c r="F38" s="430">
        <f>SUM(F31:F37)</f>
        <v>1757089.6100000003</v>
      </c>
      <c r="G38" s="78"/>
    </row>
    <row r="39" spans="1:7" ht="12.75">
      <c r="A39" s="420"/>
      <c r="B39" s="409"/>
      <c r="C39" s="409"/>
      <c r="D39" s="368"/>
      <c r="E39" s="409"/>
      <c r="F39" s="406"/>
      <c r="G39" s="78"/>
    </row>
    <row r="40" spans="1:7" ht="12.75">
      <c r="A40" s="420"/>
      <c r="B40" s="431" t="s">
        <v>348</v>
      </c>
      <c r="C40" s="415"/>
      <c r="D40" s="368"/>
      <c r="E40" s="409"/>
      <c r="F40" s="429">
        <f>+F38</f>
        <v>1757089.6100000003</v>
      </c>
      <c r="G40" s="78"/>
    </row>
    <row r="41" spans="1:7" ht="12.75">
      <c r="A41" s="420"/>
      <c r="B41" s="431"/>
      <c r="C41" s="415"/>
      <c r="D41" s="368"/>
      <c r="E41" s="409"/>
      <c r="F41" s="432"/>
      <c r="G41" s="78"/>
    </row>
    <row r="42" spans="1:7" ht="13.5" thickBot="1">
      <c r="A42" s="433" t="s">
        <v>349</v>
      </c>
      <c r="B42" s="431"/>
      <c r="C42" s="415"/>
      <c r="D42" s="368"/>
      <c r="E42" s="409"/>
      <c r="F42" s="432">
        <f>+F27-F40</f>
        <v>79846026.80999997</v>
      </c>
      <c r="G42" s="78"/>
    </row>
    <row r="43" spans="1:7" ht="13.5" thickTop="1">
      <c r="A43" s="420"/>
      <c r="B43" s="422"/>
      <c r="C43" s="415"/>
      <c r="D43" s="368"/>
      <c r="E43" s="409"/>
      <c r="F43" s="434"/>
      <c r="G43" s="78"/>
    </row>
    <row r="44" spans="1:7" ht="12.75">
      <c r="A44" s="410" t="s">
        <v>357</v>
      </c>
      <c r="B44" s="422"/>
      <c r="C44" s="435"/>
      <c r="D44" s="435"/>
      <c r="E44" s="411"/>
      <c r="F44" s="32"/>
      <c r="G44" s="78"/>
    </row>
    <row r="45" spans="1:7" ht="12.75">
      <c r="A45" s="420"/>
      <c r="B45" s="367" t="s">
        <v>351</v>
      </c>
      <c r="C45" s="409"/>
      <c r="D45" s="368"/>
      <c r="E45" s="409"/>
      <c r="F45" s="412">
        <f>'DetSFP 4th Qtr'!F149</f>
        <v>79846026.81</v>
      </c>
      <c r="G45" s="78"/>
    </row>
    <row r="46" spans="1:7" ht="12.75">
      <c r="A46" s="420"/>
      <c r="B46" s="367" t="s">
        <v>353</v>
      </c>
      <c r="C46" s="409"/>
      <c r="D46" s="368"/>
      <c r="E46" s="409"/>
      <c r="F46" s="412">
        <f>'DetSFP-3rd Qtr'!F123</f>
        <v>0</v>
      </c>
      <c r="G46" s="78"/>
    </row>
    <row r="47" spans="1:7" ht="13.5" thickBot="1">
      <c r="A47" s="420"/>
      <c r="B47" s="421" t="s">
        <v>354</v>
      </c>
      <c r="C47" s="415"/>
      <c r="D47" s="368"/>
      <c r="E47" s="409"/>
      <c r="F47" s="436">
        <f>+F45+F46</f>
        <v>79846026.81</v>
      </c>
      <c r="G47" s="78"/>
    </row>
    <row r="48" spans="4:7" ht="13.5" thickTop="1">
      <c r="D48" s="78"/>
      <c r="E48" s="78"/>
      <c r="G48" s="78"/>
    </row>
    <row r="49" spans="4:7" ht="12.75">
      <c r="D49" s="78"/>
      <c r="E49" s="78"/>
      <c r="G49" s="78"/>
    </row>
    <row r="50" spans="4:7" ht="12.75">
      <c r="D50" s="78"/>
      <c r="E50" s="78"/>
      <c r="G50" s="78"/>
    </row>
    <row r="51" spans="1:7" ht="12.75">
      <c r="A51" s="16" t="s">
        <v>25</v>
      </c>
      <c r="B51" s="77"/>
      <c r="E51" s="1" t="s">
        <v>55</v>
      </c>
      <c r="G51" s="78"/>
    </row>
    <row r="52" spans="1:7" ht="12.75">
      <c r="A52" s="16"/>
      <c r="B52" s="77"/>
      <c r="C52" s="99"/>
      <c r="E52" s="99"/>
      <c r="G52" s="78"/>
    </row>
    <row r="53" spans="1:7" ht="12.75">
      <c r="A53" s="16"/>
      <c r="B53" s="77"/>
      <c r="C53" s="100"/>
      <c r="E53" s="100"/>
      <c r="G53" s="78"/>
    </row>
    <row r="54" spans="1:7" ht="12.75">
      <c r="A54" s="17" t="s">
        <v>658</v>
      </c>
      <c r="B54" s="77"/>
      <c r="C54" s="20"/>
      <c r="E54" s="20" t="s">
        <v>815</v>
      </c>
      <c r="G54" s="78"/>
    </row>
    <row r="55" spans="1:7" ht="12.75">
      <c r="A55" s="16" t="s">
        <v>662</v>
      </c>
      <c r="B55" s="77"/>
      <c r="E55" s="1" t="s">
        <v>224</v>
      </c>
      <c r="G55" s="78"/>
    </row>
    <row r="56" spans="4:7" ht="12.75">
      <c r="D56" s="78"/>
      <c r="E56" s="78"/>
      <c r="G56" s="78"/>
    </row>
    <row r="57" spans="4:7" ht="12.75">
      <c r="D57" s="78"/>
      <c r="E57" s="78"/>
      <c r="G57" s="78"/>
    </row>
    <row r="58" spans="4:7" ht="12.75">
      <c r="D58" s="78"/>
      <c r="E58" s="78"/>
      <c r="G58" s="78"/>
    </row>
    <row r="59" spans="4:7" ht="12.75">
      <c r="D59" s="78"/>
      <c r="E59" s="78"/>
      <c r="G59" s="78"/>
    </row>
    <row r="60" spans="4:7" ht="12.75">
      <c r="D60" s="78"/>
      <c r="E60" s="78"/>
      <c r="G60" s="78"/>
    </row>
    <row r="61" spans="4:7" ht="12.75">
      <c r="D61" s="78"/>
      <c r="E61" s="78"/>
      <c r="G61" s="78"/>
    </row>
    <row r="62" spans="4:7" ht="12.75">
      <c r="D62" s="78"/>
      <c r="E62" s="78"/>
      <c r="G62" s="78"/>
    </row>
    <row r="63" spans="4:7" ht="12.75">
      <c r="D63" s="78"/>
      <c r="E63" s="78"/>
      <c r="G63" s="78"/>
    </row>
    <row r="64" spans="4:7" ht="12.75">
      <c r="D64" s="78"/>
      <c r="E64" s="78"/>
      <c r="G64" s="78"/>
    </row>
    <row r="65" spans="4:7" ht="12.75">
      <c r="D65" s="78"/>
      <c r="E65" s="78"/>
      <c r="G65" s="78"/>
    </row>
    <row r="66" spans="4:7" ht="12.75">
      <c r="D66" s="78"/>
      <c r="E66" s="78"/>
      <c r="G66" s="78"/>
    </row>
    <row r="67" spans="4:7" ht="12.75">
      <c r="D67" s="78"/>
      <c r="E67" s="78"/>
      <c r="G67" s="78"/>
    </row>
    <row r="68" spans="4:7" ht="12.75">
      <c r="D68" s="78"/>
      <c r="E68" s="78"/>
      <c r="G68" s="78"/>
    </row>
    <row r="69" spans="4:7" ht="12.75">
      <c r="D69" s="78"/>
      <c r="E69" s="78"/>
      <c r="G69" s="78"/>
    </row>
    <row r="70" spans="4:7" ht="12.75">
      <c r="D70" s="78"/>
      <c r="E70" s="78"/>
      <c r="G70" s="78"/>
    </row>
    <row r="71" spans="4:7" ht="12.75">
      <c r="D71" s="78"/>
      <c r="E71" s="78"/>
      <c r="G71" s="78"/>
    </row>
    <row r="72" spans="4:7" ht="12.75">
      <c r="D72" s="78"/>
      <c r="E72" s="78"/>
      <c r="G72" s="78"/>
    </row>
    <row r="73" spans="4:7" ht="12.75">
      <c r="D73" s="78"/>
      <c r="E73" s="78"/>
      <c r="G73" s="78"/>
    </row>
    <row r="74" spans="4:7" ht="12.75">
      <c r="D74" s="78"/>
      <c r="E74" s="78"/>
      <c r="G74" s="78"/>
    </row>
    <row r="75" spans="4:7" ht="12.75">
      <c r="D75" s="78"/>
      <c r="E75" s="78"/>
      <c r="G75" s="78"/>
    </row>
    <row r="76" spans="4:7" ht="12.75">
      <c r="D76" s="78"/>
      <c r="E76" s="78"/>
      <c r="G76" s="78"/>
    </row>
    <row r="77" spans="4:7" ht="12.75">
      <c r="D77" s="78"/>
      <c r="E77" s="78"/>
      <c r="G77" s="78"/>
    </row>
    <row r="78" spans="4:7" ht="12.75">
      <c r="D78" s="78"/>
      <c r="E78" s="78"/>
      <c r="G78" s="78"/>
    </row>
    <row r="79" spans="4:7" ht="12.75">
      <c r="D79" s="78"/>
      <c r="E79" s="78"/>
      <c r="G79" s="78"/>
    </row>
    <row r="80" spans="4:7" ht="12.75">
      <c r="D80" s="78"/>
      <c r="E80" s="78"/>
      <c r="G80" s="78"/>
    </row>
    <row r="81" spans="4:7" ht="12.75">
      <c r="D81" s="78"/>
      <c r="E81" s="78"/>
      <c r="G81" s="78"/>
    </row>
    <row r="82" spans="4:7" ht="12.75">
      <c r="D82" s="78"/>
      <c r="E82" s="78"/>
      <c r="G82" s="78"/>
    </row>
    <row r="83" spans="4:7" ht="12.75">
      <c r="D83" s="78"/>
      <c r="E83" s="78"/>
      <c r="G83" s="78"/>
    </row>
    <row r="84" spans="4:7" ht="12.75">
      <c r="D84" s="78"/>
      <c r="E84" s="78"/>
      <c r="G84" s="78"/>
    </row>
    <row r="85" spans="4:7" ht="12.75">
      <c r="D85" s="78"/>
      <c r="E85" s="78"/>
      <c r="G85" s="78"/>
    </row>
    <row r="86" spans="4:7" ht="12.75">
      <c r="D86" s="78"/>
      <c r="E86" s="78"/>
      <c r="G86" s="78"/>
    </row>
    <row r="87" spans="4:7" ht="12.75">
      <c r="D87" s="78"/>
      <c r="E87" s="78"/>
      <c r="G87" s="78"/>
    </row>
    <row r="88" spans="4:7" ht="12.75">
      <c r="D88" s="78"/>
      <c r="E88" s="78"/>
      <c r="G88" s="78"/>
    </row>
    <row r="89" spans="4:7" ht="12.75">
      <c r="D89" s="78"/>
      <c r="E89" s="78"/>
      <c r="G89" s="78"/>
    </row>
    <row r="90" spans="4:7" ht="12.75">
      <c r="D90" s="78"/>
      <c r="E90" s="78"/>
      <c r="G90" s="78"/>
    </row>
    <row r="91" spans="4:7" ht="12.75">
      <c r="D91" s="78"/>
      <c r="E91" s="78"/>
      <c r="G91" s="78"/>
    </row>
    <row r="92" spans="4:7" ht="12.75">
      <c r="D92" s="78"/>
      <c r="E92" s="78"/>
      <c r="G92" s="78"/>
    </row>
    <row r="93" spans="4:7" ht="12.75">
      <c r="D93" s="78"/>
      <c r="E93" s="78"/>
      <c r="G93" s="78"/>
    </row>
    <row r="94" spans="4:7" ht="12.75">
      <c r="D94" s="78"/>
      <c r="E94" s="78"/>
      <c r="G94" s="78"/>
    </row>
    <row r="95" spans="4:7" ht="12.75">
      <c r="D95" s="78"/>
      <c r="E95" s="78"/>
      <c r="G95" s="78"/>
    </row>
    <row r="96" spans="4:7" ht="12.75">
      <c r="D96" s="78"/>
      <c r="E96" s="78"/>
      <c r="G96" s="78"/>
    </row>
    <row r="97" spans="4:7" ht="12.75">
      <c r="D97" s="78"/>
      <c r="E97" s="78"/>
      <c r="G97" s="78"/>
    </row>
    <row r="98" spans="4:7" ht="12.75">
      <c r="D98" s="78"/>
      <c r="E98" s="78"/>
      <c r="G98" s="78"/>
    </row>
    <row r="99" spans="4:7" ht="12.75">
      <c r="D99" s="78"/>
      <c r="E99" s="78"/>
      <c r="G99" s="78"/>
    </row>
    <row r="100" spans="4:7" ht="12.75">
      <c r="D100" s="78"/>
      <c r="E100" s="78"/>
      <c r="G100" s="78"/>
    </row>
    <row r="101" spans="4:7" ht="12.75">
      <c r="D101" s="78"/>
      <c r="E101" s="78"/>
      <c r="G101" s="78"/>
    </row>
    <row r="102" spans="4:7" ht="12.75">
      <c r="D102" s="78"/>
      <c r="E102" s="78"/>
      <c r="G102" s="78"/>
    </row>
    <row r="103" spans="4:7" ht="12.75">
      <c r="D103" s="78"/>
      <c r="E103" s="78"/>
      <c r="G103" s="78"/>
    </row>
    <row r="104" spans="4:7" ht="12.75">
      <c r="D104" s="78"/>
      <c r="E104" s="78"/>
      <c r="G104" s="78"/>
    </row>
    <row r="105" spans="4:7" ht="12.75">
      <c r="D105" s="78"/>
      <c r="E105" s="78"/>
      <c r="G105" s="78"/>
    </row>
    <row r="106" spans="4:7" ht="12.75">
      <c r="D106" s="78"/>
      <c r="E106" s="78"/>
      <c r="G106" s="78"/>
    </row>
    <row r="107" spans="4:7" ht="12.75">
      <c r="D107" s="78"/>
      <c r="E107" s="78"/>
      <c r="G107" s="78"/>
    </row>
    <row r="108" spans="4:7" ht="12.75">
      <c r="D108" s="78"/>
      <c r="E108" s="78"/>
      <c r="G108" s="78"/>
    </row>
    <row r="109" spans="4:7" ht="12.75">
      <c r="D109" s="78"/>
      <c r="E109" s="78"/>
      <c r="G109" s="78"/>
    </row>
    <row r="110" spans="4:7" ht="12.75">
      <c r="D110" s="78"/>
      <c r="E110" s="78"/>
      <c r="G110" s="78"/>
    </row>
    <row r="111" spans="4:7" ht="12.75">
      <c r="D111" s="78"/>
      <c r="E111" s="78"/>
      <c r="G111" s="78"/>
    </row>
    <row r="112" spans="4:7" ht="12.75">
      <c r="D112" s="78"/>
      <c r="E112" s="78"/>
      <c r="G112" s="78"/>
    </row>
    <row r="113" spans="4:7" ht="12.75">
      <c r="D113" s="78"/>
      <c r="E113" s="78"/>
      <c r="G113" s="78"/>
    </row>
    <row r="114" spans="4:7" ht="12.75">
      <c r="D114" s="78"/>
      <c r="E114" s="78"/>
      <c r="G114" s="78"/>
    </row>
    <row r="115" spans="4:7" ht="12.75">
      <c r="D115" s="78"/>
      <c r="E115" s="78"/>
      <c r="G115" s="78"/>
    </row>
    <row r="116" spans="4:7" ht="12.75">
      <c r="D116" s="78"/>
      <c r="E116" s="78"/>
      <c r="G116" s="78"/>
    </row>
    <row r="117" spans="4:7" ht="12.75">
      <c r="D117" s="78"/>
      <c r="E117" s="78"/>
      <c r="G117" s="78"/>
    </row>
    <row r="118" spans="4:7" ht="12.75">
      <c r="D118" s="78"/>
      <c r="E118" s="78"/>
      <c r="G118" s="78"/>
    </row>
    <row r="119" spans="4:7" ht="12.75">
      <c r="D119" s="78"/>
      <c r="E119" s="78"/>
      <c r="G119" s="78"/>
    </row>
    <row r="120" spans="4:7" ht="12.75">
      <c r="D120" s="78"/>
      <c r="E120" s="78"/>
      <c r="G120" s="78"/>
    </row>
    <row r="121" spans="4:7" ht="12.75">
      <c r="D121" s="78"/>
      <c r="E121" s="78"/>
      <c r="G121" s="78"/>
    </row>
    <row r="122" spans="4:7" ht="12.75">
      <c r="D122" s="78"/>
      <c r="E122" s="78"/>
      <c r="G122" s="78"/>
    </row>
    <row r="123" spans="4:7" ht="12.75">
      <c r="D123" s="78"/>
      <c r="E123" s="78"/>
      <c r="G123" s="78"/>
    </row>
    <row r="124" spans="4:7" ht="12.75">
      <c r="D124" s="78"/>
      <c r="E124" s="78"/>
      <c r="G124" s="78"/>
    </row>
    <row r="125" spans="4:7" ht="12.75">
      <c r="D125" s="78"/>
      <c r="E125" s="78"/>
      <c r="G125" s="78"/>
    </row>
    <row r="126" spans="4:7" ht="12.75">
      <c r="D126" s="78"/>
      <c r="E126" s="78"/>
      <c r="G126" s="78"/>
    </row>
    <row r="127" spans="4:7" ht="12.75">
      <c r="D127" s="78"/>
      <c r="E127" s="78"/>
      <c r="G127" s="78"/>
    </row>
    <row r="128" spans="4:7" ht="12.75">
      <c r="D128" s="78"/>
      <c r="E128" s="78"/>
      <c r="G128" s="78"/>
    </row>
    <row r="129" spans="4:7" ht="12.75">
      <c r="D129" s="78"/>
      <c r="E129" s="78"/>
      <c r="G129" s="78"/>
    </row>
    <row r="130" spans="4:7" ht="12.75">
      <c r="D130" s="78"/>
      <c r="E130" s="78"/>
      <c r="G130" s="78"/>
    </row>
    <row r="131" spans="4:7" ht="12.75">
      <c r="D131" s="78"/>
      <c r="E131" s="78"/>
      <c r="G131" s="78"/>
    </row>
    <row r="132" spans="4:7" ht="12.75">
      <c r="D132" s="78"/>
      <c r="E132" s="78"/>
      <c r="G132" s="78"/>
    </row>
    <row r="133" spans="4:7" ht="12.75">
      <c r="D133" s="78"/>
      <c r="E133" s="78"/>
      <c r="G133" s="78"/>
    </row>
    <row r="134" spans="4:7" ht="12.75">
      <c r="D134" s="78"/>
      <c r="E134" s="78"/>
      <c r="G134" s="78"/>
    </row>
    <row r="135" spans="4:7" ht="12.75">
      <c r="D135" s="78"/>
      <c r="E135" s="78"/>
      <c r="G135" s="78"/>
    </row>
    <row r="136" spans="4:7" ht="12.75">
      <c r="D136" s="78"/>
      <c r="E136" s="78"/>
      <c r="G136" s="78"/>
    </row>
    <row r="137" spans="4:7" ht="12.75">
      <c r="D137" s="78"/>
      <c r="E137" s="78"/>
      <c r="G137" s="78"/>
    </row>
    <row r="138" spans="4:7" ht="12.75">
      <c r="D138" s="78"/>
      <c r="E138" s="78"/>
      <c r="G138" s="78"/>
    </row>
    <row r="139" spans="4:7" ht="12.75">
      <c r="D139" s="78"/>
      <c r="E139" s="78"/>
      <c r="G139" s="78"/>
    </row>
    <row r="140" spans="4:7" ht="12.75">
      <c r="D140" s="78"/>
      <c r="E140" s="78"/>
      <c r="G140" s="78"/>
    </row>
    <row r="141" spans="4:7" ht="12.75">
      <c r="D141" s="78"/>
      <c r="E141" s="78"/>
      <c r="G141" s="78"/>
    </row>
    <row r="142" spans="4:7" ht="12.75">
      <c r="D142" s="78"/>
      <c r="E142" s="78"/>
      <c r="G142" s="78"/>
    </row>
    <row r="143" spans="4:7" ht="12.75">
      <c r="D143" s="78"/>
      <c r="E143" s="78"/>
      <c r="G143" s="78"/>
    </row>
    <row r="144" spans="4:7" ht="12.75">
      <c r="D144" s="78"/>
      <c r="E144" s="78"/>
      <c r="G144" s="78"/>
    </row>
    <row r="145" spans="4:7" ht="12.75">
      <c r="D145" s="78"/>
      <c r="E145" s="78"/>
      <c r="G145" s="78"/>
    </row>
    <row r="146" spans="4:7" ht="12.75">
      <c r="D146" s="78"/>
      <c r="E146" s="78"/>
      <c r="G146" s="78"/>
    </row>
    <row r="147" spans="4:7" ht="12.75">
      <c r="D147" s="78"/>
      <c r="E147" s="78"/>
      <c r="G147" s="78"/>
    </row>
    <row r="148" spans="4:7" ht="12.75">
      <c r="D148" s="78"/>
      <c r="E148" s="78"/>
      <c r="G148" s="78"/>
    </row>
    <row r="149" spans="4:7" ht="12.75">
      <c r="D149" s="78"/>
      <c r="E149" s="78"/>
      <c r="G149" s="78"/>
    </row>
    <row r="150" spans="4:7" ht="12.75">
      <c r="D150" s="78"/>
      <c r="E150" s="78"/>
      <c r="G150" s="78"/>
    </row>
    <row r="151" spans="4:7" ht="12.75">
      <c r="D151" s="78"/>
      <c r="E151" s="78"/>
      <c r="G151" s="78"/>
    </row>
    <row r="152" spans="4:7" ht="12.75">
      <c r="D152" s="78"/>
      <c r="E152" s="78"/>
      <c r="G152" s="78"/>
    </row>
    <row r="153" spans="4:7" ht="12.75">
      <c r="D153" s="78"/>
      <c r="E153" s="78"/>
      <c r="G153" s="78"/>
    </row>
    <row r="154" spans="4:7" ht="12.75">
      <c r="D154" s="78"/>
      <c r="E154" s="78"/>
      <c r="G154" s="78"/>
    </row>
    <row r="155" spans="4:7" ht="12.75">
      <c r="D155" s="78"/>
      <c r="E155" s="78"/>
      <c r="G155" s="78"/>
    </row>
    <row r="156" spans="4:7" ht="12.75">
      <c r="D156" s="78"/>
      <c r="E156" s="78"/>
      <c r="G156" s="78"/>
    </row>
    <row r="157" spans="4:7" ht="12.75">
      <c r="D157" s="78"/>
      <c r="E157" s="78"/>
      <c r="G157" s="78"/>
    </row>
    <row r="158" spans="4:7" ht="12.75">
      <c r="D158" s="78"/>
      <c r="E158" s="78"/>
      <c r="G158" s="78"/>
    </row>
    <row r="159" spans="4:7" ht="12.75">
      <c r="D159" s="78"/>
      <c r="E159" s="78"/>
      <c r="G159" s="78"/>
    </row>
    <row r="160" spans="4:7" ht="12.75">
      <c r="D160" s="78"/>
      <c r="E160" s="78"/>
      <c r="G160" s="78"/>
    </row>
    <row r="161" spans="4:7" ht="12.75">
      <c r="D161" s="78"/>
      <c r="E161" s="78"/>
      <c r="G161" s="78"/>
    </row>
    <row r="162" spans="4:7" ht="12.75">
      <c r="D162" s="78"/>
      <c r="E162" s="78"/>
      <c r="G162" s="78"/>
    </row>
    <row r="163" spans="4:7" ht="12.75">
      <c r="D163" s="78"/>
      <c r="E163" s="78"/>
      <c r="G163" s="78"/>
    </row>
    <row r="164" spans="4:7" ht="12.75">
      <c r="D164" s="78"/>
      <c r="E164" s="78"/>
      <c r="G164" s="78"/>
    </row>
    <row r="165" spans="4:7" ht="12.75">
      <c r="D165" s="78"/>
      <c r="E165" s="78"/>
      <c r="G165" s="78"/>
    </row>
  </sheetData>
  <sheetProtection/>
  <mergeCells count="6">
    <mergeCell ref="A1:F1"/>
    <mergeCell ref="A2:F2"/>
    <mergeCell ref="A3:F3"/>
    <mergeCell ref="A4:F4"/>
    <mergeCell ref="A7:F7"/>
    <mergeCell ref="A29:D29"/>
  </mergeCells>
  <printOptions/>
  <pageMargins left="0.7" right="0.7" top="0.75" bottom="0.75" header="0.3" footer="0.3"/>
  <pageSetup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:E30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22.421875" style="1" customWidth="1"/>
    <col min="4" max="4" width="16.57421875" style="1" customWidth="1"/>
    <col min="5" max="5" width="16.7109375" style="1" customWidth="1"/>
    <col min="6" max="16384" width="9.140625" style="1" customWidth="1"/>
  </cols>
  <sheetData>
    <row r="2" spans="1:5" ht="12.75">
      <c r="A2" s="551" t="s">
        <v>1</v>
      </c>
      <c r="B2" s="551"/>
      <c r="C2" s="551"/>
      <c r="D2" s="551"/>
      <c r="E2" s="87"/>
    </row>
    <row r="3" spans="1:5" ht="12.75">
      <c r="A3" s="551" t="s">
        <v>95</v>
      </c>
      <c r="B3" s="551"/>
      <c r="C3" s="551"/>
      <c r="D3" s="551"/>
      <c r="E3" s="87"/>
    </row>
    <row r="4" spans="1:5" ht="12.75">
      <c r="A4" s="552" t="s">
        <v>215</v>
      </c>
      <c r="B4" s="552"/>
      <c r="C4" s="552"/>
      <c r="D4" s="552"/>
      <c r="E4" s="16"/>
    </row>
    <row r="5" spans="1:5" ht="12.75">
      <c r="A5" s="552" t="s">
        <v>777</v>
      </c>
      <c r="B5" s="552"/>
      <c r="C5" s="552"/>
      <c r="D5" s="552"/>
      <c r="E5" s="16"/>
    </row>
    <row r="9" spans="1:5" ht="12.75">
      <c r="A9" s="398" t="s">
        <v>726</v>
      </c>
      <c r="B9" s="399"/>
      <c r="C9" s="399"/>
      <c r="D9" s="400">
        <f>Jan20!D69</f>
        <v>93587952.88</v>
      </c>
      <c r="E9" s="79"/>
    </row>
    <row r="10" spans="1:5" ht="12.75">
      <c r="A10" s="398" t="s">
        <v>358</v>
      </c>
      <c r="B10" s="399"/>
      <c r="C10" s="399"/>
      <c r="D10" s="379"/>
      <c r="E10" s="92"/>
    </row>
    <row r="11" spans="1:5" ht="12.75">
      <c r="A11" s="401" t="s">
        <v>359</v>
      </c>
      <c r="B11" s="402"/>
      <c r="C11" s="402"/>
      <c r="D11" s="379">
        <v>0</v>
      </c>
      <c r="E11" s="79"/>
    </row>
    <row r="12" spans="1:5" ht="12.75">
      <c r="A12" s="401" t="s">
        <v>360</v>
      </c>
      <c r="B12" s="402"/>
      <c r="C12" s="402"/>
      <c r="D12" s="379">
        <f>94900</f>
        <v>94900</v>
      </c>
      <c r="E12" s="79"/>
    </row>
    <row r="13" spans="1:5" ht="12.75">
      <c r="A13" s="401" t="s">
        <v>361</v>
      </c>
      <c r="B13" s="402"/>
      <c r="C13" s="402"/>
      <c r="D13" s="361">
        <v>-21907026.35</v>
      </c>
      <c r="E13" s="79"/>
    </row>
    <row r="14" spans="1:5" ht="12.75">
      <c r="A14" s="403" t="s">
        <v>362</v>
      </c>
      <c r="B14" s="404"/>
      <c r="C14" s="404"/>
      <c r="D14" s="405">
        <f>SUM(D9:D13)</f>
        <v>71775826.53</v>
      </c>
      <c r="E14" s="79"/>
    </row>
    <row r="15" spans="1:5" ht="21" customHeight="1">
      <c r="A15" s="403"/>
      <c r="B15" s="404"/>
      <c r="C15" s="404"/>
      <c r="D15" s="406"/>
      <c r="E15" s="95"/>
    </row>
    <row r="16" spans="1:5" ht="12.75">
      <c r="A16" s="398" t="s">
        <v>358</v>
      </c>
      <c r="B16" s="404"/>
      <c r="C16" s="404"/>
      <c r="D16" s="406"/>
      <c r="E16" s="79"/>
    </row>
    <row r="17" spans="1:5" ht="12.75">
      <c r="A17" s="398" t="s">
        <v>363</v>
      </c>
      <c r="B17" s="399"/>
      <c r="C17" s="399"/>
      <c r="D17" s="406"/>
      <c r="E17" s="78"/>
    </row>
    <row r="18" spans="1:5" ht="12.75">
      <c r="A18" s="401" t="s">
        <v>364</v>
      </c>
      <c r="B18" s="402"/>
      <c r="C18" s="402"/>
      <c r="D18" s="406">
        <f>'DetSFPerf-4th Qtr'!C161</f>
        <v>8070200.280000001</v>
      </c>
      <c r="E18" s="78"/>
    </row>
    <row r="19" spans="1:8" s="77" customFormat="1" ht="15">
      <c r="A19" s="401" t="s">
        <v>663</v>
      </c>
      <c r="B19" s="402"/>
      <c r="C19" s="402"/>
      <c r="D19" s="406">
        <v>0</v>
      </c>
      <c r="E19" s="78"/>
      <c r="F19" s="76"/>
      <c r="G19" s="76"/>
      <c r="H19" s="76"/>
    </row>
    <row r="20" spans="1:8" s="77" customFormat="1" ht="15">
      <c r="A20" s="401" t="s">
        <v>664</v>
      </c>
      <c r="B20" s="402"/>
      <c r="C20" s="402"/>
      <c r="D20" s="406">
        <v>0</v>
      </c>
      <c r="E20" s="87"/>
      <c r="F20" s="76"/>
      <c r="G20" s="76"/>
      <c r="H20" s="76"/>
    </row>
    <row r="21" spans="1:8" s="77" customFormat="1" ht="12.75">
      <c r="A21" s="407"/>
      <c r="B21" s="402"/>
      <c r="C21" s="402"/>
      <c r="D21" s="379"/>
      <c r="E21" s="16"/>
      <c r="F21" s="76"/>
      <c r="G21" s="76"/>
      <c r="H21" s="76"/>
    </row>
    <row r="22" spans="1:8" s="77" customFormat="1" ht="13.5" thickBot="1">
      <c r="A22" s="398" t="s">
        <v>742</v>
      </c>
      <c r="B22" s="399"/>
      <c r="C22" s="399"/>
      <c r="D22" s="383">
        <f>+D14+D18</f>
        <v>79846026.81</v>
      </c>
      <c r="E22" s="88"/>
      <c r="F22" s="76"/>
      <c r="G22" s="76"/>
      <c r="H22" s="76"/>
    </row>
    <row r="23" spans="1:8" s="77" customFormat="1" ht="13.5" thickTop="1">
      <c r="A23" s="16"/>
      <c r="C23" s="1"/>
      <c r="D23" s="89">
        <f>+D22-'ConSFP 4th Qtr'!F45</f>
        <v>0</v>
      </c>
      <c r="E23" s="88"/>
      <c r="F23" s="76"/>
      <c r="G23" s="76"/>
      <c r="H23" s="76"/>
    </row>
    <row r="24" ht="12.75">
      <c r="E24" s="78"/>
    </row>
    <row r="25" ht="12.75">
      <c r="E25" s="78"/>
    </row>
    <row r="26" spans="1:4" ht="12.75">
      <c r="A26" s="16" t="s">
        <v>25</v>
      </c>
      <c r="B26" s="77"/>
      <c r="D26" s="1" t="s">
        <v>55</v>
      </c>
    </row>
    <row r="27" spans="1:4" ht="12.75">
      <c r="A27" s="16"/>
      <c r="B27" s="77"/>
      <c r="C27" s="99"/>
      <c r="D27" s="99"/>
    </row>
    <row r="28" spans="1:4" ht="12.75">
      <c r="A28" s="16"/>
      <c r="B28" s="77"/>
      <c r="C28" s="100"/>
      <c r="D28" s="100"/>
    </row>
    <row r="29" spans="1:4" ht="12.75">
      <c r="A29" s="17" t="s">
        <v>658</v>
      </c>
      <c r="B29" s="77"/>
      <c r="C29" s="20"/>
      <c r="D29" s="20" t="s">
        <v>815</v>
      </c>
    </row>
    <row r="30" spans="1:4" ht="12.75">
      <c r="A30" s="16" t="s">
        <v>662</v>
      </c>
      <c r="B30" s="77"/>
      <c r="D30" s="1" t="s">
        <v>224</v>
      </c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07"/>
  <sheetViews>
    <sheetView zoomScalePageLayoutView="0" workbookViewId="0" topLeftCell="A116">
      <selection activeCell="A1" sqref="A1:H207"/>
    </sheetView>
  </sheetViews>
  <sheetFormatPr defaultColWidth="9.140625" defaultRowHeight="12.75"/>
  <cols>
    <col min="1" max="1" width="4.00390625" style="77" customWidth="1"/>
    <col min="2" max="2" width="4.8515625" style="77" customWidth="1"/>
    <col min="3" max="3" width="69.421875" style="77" customWidth="1"/>
    <col min="4" max="4" width="19.00390625" style="77" customWidth="1"/>
    <col min="5" max="5" width="17.421875" style="89" hidden="1" customWidth="1"/>
    <col min="6" max="6" width="15.140625" style="89" hidden="1" customWidth="1"/>
    <col min="7" max="7" width="14.00390625" style="89" hidden="1" customWidth="1"/>
    <col min="8" max="9" width="9.140625" style="77" customWidth="1"/>
    <col min="10" max="10" width="14.8515625" style="77" customWidth="1"/>
    <col min="11" max="16384" width="9.140625" style="77" customWidth="1"/>
  </cols>
  <sheetData>
    <row r="1" spans="1:5" ht="15">
      <c r="A1" s="555" t="s">
        <v>1</v>
      </c>
      <c r="B1" s="555"/>
      <c r="C1" s="555"/>
      <c r="D1" s="555"/>
      <c r="E1" s="555"/>
    </row>
    <row r="2" spans="1:5" ht="12.75">
      <c r="A2" s="551" t="s">
        <v>96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">
        <v>807</v>
      </c>
      <c r="B4" s="552"/>
      <c r="C4" s="552"/>
      <c r="D4" s="552"/>
      <c r="E4" s="552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7" ht="12.75">
      <c r="A7" s="356" t="s">
        <v>365</v>
      </c>
      <c r="B7" s="356"/>
      <c r="C7" s="356"/>
      <c r="D7" s="357"/>
      <c r="E7" s="32"/>
      <c r="F7" s="32"/>
      <c r="G7" s="32"/>
    </row>
    <row r="8" spans="1:7" ht="12.75">
      <c r="A8" s="356"/>
      <c r="B8" s="356"/>
      <c r="C8" s="356"/>
      <c r="D8" s="357"/>
      <c r="E8" s="32"/>
      <c r="F8" s="32"/>
      <c r="G8" s="32"/>
    </row>
    <row r="9" spans="1:7" ht="12.75">
      <c r="A9" s="358" t="s">
        <v>366</v>
      </c>
      <c r="B9" s="356"/>
      <c r="C9" s="356"/>
      <c r="D9" s="357"/>
      <c r="E9" s="92"/>
      <c r="F9" s="32"/>
      <c r="G9" s="32"/>
    </row>
    <row r="10" spans="1:7" ht="12.75">
      <c r="A10" s="359"/>
      <c r="B10" s="360" t="s">
        <v>367</v>
      </c>
      <c r="C10" s="360"/>
      <c r="D10" s="361">
        <f>+D11+D12+D13+D14</f>
        <v>253532385.35999998</v>
      </c>
      <c r="E10" s="92"/>
      <c r="F10" s="32"/>
      <c r="G10" s="32"/>
    </row>
    <row r="11" spans="1:7" ht="12.75">
      <c r="A11" s="359"/>
      <c r="B11" s="360"/>
      <c r="C11" s="360" t="s">
        <v>367</v>
      </c>
      <c r="D11" s="362">
        <f>'DetSFPerf-4th Qtr'!C158</f>
        <v>122573301.69999999</v>
      </c>
      <c r="E11" s="92"/>
      <c r="F11" s="32"/>
      <c r="G11" s="32"/>
    </row>
    <row r="12" spans="1:7" ht="12.75">
      <c r="A12" s="359"/>
      <c r="B12" s="360"/>
      <c r="C12" s="360" t="s">
        <v>368</v>
      </c>
      <c r="D12" s="362">
        <f>'DetSFPerf-4th Qtr'!C159</f>
        <v>114924393.25999999</v>
      </c>
      <c r="E12" s="92"/>
      <c r="F12" s="32"/>
      <c r="G12" s="32"/>
    </row>
    <row r="13" spans="1:7" ht="12.75">
      <c r="A13" s="359"/>
      <c r="B13" s="360"/>
      <c r="C13" s="360" t="s">
        <v>369</v>
      </c>
      <c r="D13" s="362">
        <v>16034690.4</v>
      </c>
      <c r="E13" s="92"/>
      <c r="F13" s="32"/>
      <c r="G13" s="32"/>
    </row>
    <row r="14" spans="1:7" ht="12.75">
      <c r="A14" s="359"/>
      <c r="B14" s="360"/>
      <c r="C14" s="360" t="s">
        <v>370</v>
      </c>
      <c r="D14" s="361">
        <v>0</v>
      </c>
      <c r="E14" s="92"/>
      <c r="F14" s="32"/>
      <c r="G14" s="32"/>
    </row>
    <row r="15" spans="1:7" ht="12.75">
      <c r="A15" s="359"/>
      <c r="B15" s="360"/>
      <c r="C15" s="360"/>
      <c r="D15" s="379">
        <f>SUM(D11:D14)</f>
        <v>253532385.35999998</v>
      </c>
      <c r="E15" s="92"/>
      <c r="F15" s="32"/>
      <c r="G15" s="32"/>
    </row>
    <row r="16" spans="1:7" ht="12.75">
      <c r="A16" s="359"/>
      <c r="B16" s="360"/>
      <c r="C16" s="360"/>
      <c r="D16" s="379"/>
      <c r="E16" s="92"/>
      <c r="F16" s="32"/>
      <c r="G16" s="32"/>
    </row>
    <row r="17" spans="1:7" ht="12.75">
      <c r="A17" s="359"/>
      <c r="B17" s="360" t="s">
        <v>752</v>
      </c>
      <c r="C17" s="360"/>
      <c r="D17" s="379"/>
      <c r="E17" s="92"/>
      <c r="F17" s="32"/>
      <c r="G17" s="32"/>
    </row>
    <row r="18" spans="1:7" ht="12.75">
      <c r="A18" s="359"/>
      <c r="B18" s="360"/>
      <c r="C18" s="360" t="s">
        <v>753</v>
      </c>
      <c r="D18" s="361"/>
      <c r="E18" s="92"/>
      <c r="F18" s="32"/>
      <c r="G18" s="32"/>
    </row>
    <row r="19" spans="1:7" ht="12.75">
      <c r="A19" s="359"/>
      <c r="B19" s="360"/>
      <c r="C19" s="360"/>
      <c r="D19" s="379"/>
      <c r="E19" s="92"/>
      <c r="F19" s="32"/>
      <c r="G19" s="32"/>
    </row>
    <row r="20" spans="1:7" ht="12.75">
      <c r="A20" s="359"/>
      <c r="B20" s="360"/>
      <c r="C20" s="360"/>
      <c r="D20" s="379"/>
      <c r="E20" s="92"/>
      <c r="F20" s="32"/>
      <c r="G20" s="32"/>
    </row>
    <row r="21" spans="1:7" ht="12.75">
      <c r="A21" s="363" t="s">
        <v>97</v>
      </c>
      <c r="B21" s="364"/>
      <c r="C21" s="358"/>
      <c r="D21" s="365">
        <f>+D15+D18</f>
        <v>253532385.35999998</v>
      </c>
      <c r="E21" s="92"/>
      <c r="F21" s="32"/>
      <c r="G21" s="32"/>
    </row>
    <row r="22" spans="1:7" ht="12.75">
      <c r="A22" s="358"/>
      <c r="B22" s="356"/>
      <c r="C22" s="356"/>
      <c r="D22" s="362"/>
      <c r="E22" s="92"/>
      <c r="F22" s="32"/>
      <c r="G22" s="32"/>
    </row>
    <row r="23" spans="1:7" ht="12.75">
      <c r="A23" s="358" t="s">
        <v>372</v>
      </c>
      <c r="B23" s="356"/>
      <c r="C23" s="356"/>
      <c r="D23" s="362"/>
      <c r="E23" s="92" t="s">
        <v>549</v>
      </c>
      <c r="F23" s="32" t="s">
        <v>550</v>
      </c>
      <c r="G23" s="32" t="s">
        <v>551</v>
      </c>
    </row>
    <row r="24" spans="1:7" ht="12.75">
      <c r="A24" s="359"/>
      <c r="B24" s="360" t="s">
        <v>373</v>
      </c>
      <c r="C24" s="360"/>
      <c r="D24" s="362"/>
      <c r="E24" s="92"/>
      <c r="F24" s="32"/>
      <c r="G24" s="32"/>
    </row>
    <row r="25" spans="1:7" ht="12.75">
      <c r="A25" s="359"/>
      <c r="B25" s="360"/>
      <c r="C25" s="360" t="s">
        <v>374</v>
      </c>
      <c r="D25" s="362">
        <f>ConSFPerf!C12</f>
        <v>22365510.949999996</v>
      </c>
      <c r="E25" s="92">
        <f>1753445.71+10072.91</f>
        <v>1763518.6199999999</v>
      </c>
      <c r="F25" s="32">
        <v>2226610.48</v>
      </c>
      <c r="G25" s="32">
        <v>1991580.55</v>
      </c>
    </row>
    <row r="26" spans="1:7" ht="12.75">
      <c r="A26" s="359"/>
      <c r="B26" s="360"/>
      <c r="C26" s="360" t="s">
        <v>375</v>
      </c>
      <c r="D26" s="362">
        <f>ConSFPerf!C13</f>
        <v>205625048.88</v>
      </c>
      <c r="E26" s="92">
        <f>4957291.36-E25-E27-E41-E57-E58</f>
        <v>2567221.2</v>
      </c>
      <c r="F26" s="32">
        <f>11618620.31-F25-F27-F39-F41-F57-F58</f>
        <v>8438471.1</v>
      </c>
      <c r="G26" s="32">
        <f>36754844.75-G25-G27-G39-G41-G57-G58</f>
        <v>33416304.370000005</v>
      </c>
    </row>
    <row r="27" spans="1:7" ht="12.75">
      <c r="A27" s="359"/>
      <c r="B27" s="360"/>
      <c r="C27" s="360" t="s">
        <v>376</v>
      </c>
      <c r="D27" s="362">
        <v>0</v>
      </c>
      <c r="E27" s="92">
        <v>150</v>
      </c>
      <c r="F27" s="32">
        <v>400</v>
      </c>
      <c r="G27" s="32">
        <v>50</v>
      </c>
    </row>
    <row r="28" spans="1:7" ht="12.75" hidden="1">
      <c r="A28" s="359"/>
      <c r="B28" s="360" t="s">
        <v>377</v>
      </c>
      <c r="C28" s="360"/>
      <c r="D28" s="362"/>
      <c r="E28" s="32"/>
      <c r="F28" s="32"/>
      <c r="G28" s="32"/>
    </row>
    <row r="29" spans="1:7" ht="12.75" hidden="1">
      <c r="A29" s="359"/>
      <c r="B29" s="360"/>
      <c r="C29" s="366" t="s">
        <v>378</v>
      </c>
      <c r="D29" s="362"/>
      <c r="E29" s="32"/>
      <c r="F29" s="32"/>
      <c r="G29" s="32"/>
    </row>
    <row r="30" spans="1:7" ht="12.75" hidden="1">
      <c r="A30" s="359"/>
      <c r="B30" s="360"/>
      <c r="C30" s="366" t="s">
        <v>379</v>
      </c>
      <c r="D30" s="362"/>
      <c r="E30" s="32"/>
      <c r="F30" s="32"/>
      <c r="G30" s="32"/>
    </row>
    <row r="31" spans="1:7" ht="12.75" hidden="1">
      <c r="A31" s="359"/>
      <c r="B31" s="360"/>
      <c r="C31" s="366" t="s">
        <v>380</v>
      </c>
      <c r="D31" s="362"/>
      <c r="E31" s="32"/>
      <c r="F31" s="32"/>
      <c r="G31" s="32"/>
    </row>
    <row r="32" spans="1:7" ht="12.75" hidden="1">
      <c r="A32" s="359"/>
      <c r="B32" s="360"/>
      <c r="C32" s="366" t="s">
        <v>381</v>
      </c>
      <c r="D32" s="362"/>
      <c r="E32" s="32"/>
      <c r="F32" s="32"/>
      <c r="G32" s="32"/>
    </row>
    <row r="33" spans="1:7" ht="12.75" hidden="1">
      <c r="A33" s="359"/>
      <c r="B33" s="367" t="s">
        <v>382</v>
      </c>
      <c r="C33" s="366"/>
      <c r="D33" s="362"/>
      <c r="E33" s="32"/>
      <c r="F33" s="32"/>
      <c r="G33" s="32"/>
    </row>
    <row r="34" spans="1:7" ht="12.75" hidden="1">
      <c r="A34" s="359"/>
      <c r="B34" s="367"/>
      <c r="C34" s="366" t="s">
        <v>383</v>
      </c>
      <c r="D34" s="362"/>
      <c r="E34" s="32"/>
      <c r="F34" s="32"/>
      <c r="G34" s="32"/>
    </row>
    <row r="35" spans="1:7" ht="12.75" hidden="1">
      <c r="A35" s="359"/>
      <c r="B35" s="367"/>
      <c r="C35" s="366" t="s">
        <v>384</v>
      </c>
      <c r="D35" s="362"/>
      <c r="E35" s="32"/>
      <c r="F35" s="32"/>
      <c r="G35" s="32"/>
    </row>
    <row r="36" spans="1:7" ht="12.75" hidden="1">
      <c r="A36" s="359"/>
      <c r="B36" s="367"/>
      <c r="C36" s="366" t="s">
        <v>385</v>
      </c>
      <c r="D36" s="362"/>
      <c r="E36" s="32"/>
      <c r="F36" s="32"/>
      <c r="G36" s="32"/>
    </row>
    <row r="37" spans="1:7" ht="12.75" hidden="1">
      <c r="A37" s="359"/>
      <c r="B37" s="367"/>
      <c r="C37" s="366" t="s">
        <v>386</v>
      </c>
      <c r="D37" s="362"/>
      <c r="E37" s="32"/>
      <c r="F37" s="32"/>
      <c r="G37" s="32"/>
    </row>
    <row r="38" spans="1:7" ht="12.75">
      <c r="A38" s="359"/>
      <c r="B38" s="360" t="s">
        <v>387</v>
      </c>
      <c r="C38" s="367"/>
      <c r="D38" s="362"/>
      <c r="E38" s="32"/>
      <c r="F38" s="32"/>
      <c r="G38" s="32"/>
    </row>
    <row r="39" spans="1:7" ht="12.75">
      <c r="A39" s="359"/>
      <c r="B39" s="360"/>
      <c r="C39" s="367" t="s">
        <v>388</v>
      </c>
      <c r="D39" s="362">
        <v>413488.61</v>
      </c>
      <c r="E39" s="32"/>
      <c r="F39" s="32">
        <v>4287</v>
      </c>
      <c r="G39" s="32">
        <v>123060</v>
      </c>
    </row>
    <row r="40" spans="1:10" ht="12.75">
      <c r="A40" s="359"/>
      <c r="B40" s="360"/>
      <c r="C40" s="367" t="s">
        <v>389</v>
      </c>
      <c r="D40" s="362"/>
      <c r="E40" s="32"/>
      <c r="F40" s="32"/>
      <c r="G40" s="32"/>
      <c r="J40" s="318">
        <f>D26+D27+D39+D41+D42</f>
        <v>206153981.49</v>
      </c>
    </row>
    <row r="41" spans="1:7" ht="12.75">
      <c r="A41" s="359"/>
      <c r="B41" s="360"/>
      <c r="C41" s="367" t="s">
        <v>201</v>
      </c>
      <c r="D41" s="362">
        <v>20100</v>
      </c>
      <c r="E41" s="32">
        <v>432000</v>
      </c>
      <c r="F41" s="32">
        <v>361000</v>
      </c>
      <c r="G41" s="32">
        <v>718000</v>
      </c>
    </row>
    <row r="42" spans="1:7" ht="12.75">
      <c r="A42" s="359"/>
      <c r="B42" s="360"/>
      <c r="C42" s="367" t="s">
        <v>390</v>
      </c>
      <c r="D42" s="362">
        <v>95344</v>
      </c>
      <c r="E42" s="32"/>
      <c r="F42" s="32"/>
      <c r="G42" s="32"/>
    </row>
    <row r="43" spans="1:7" ht="12.75" hidden="1">
      <c r="A43" s="359"/>
      <c r="B43" s="360" t="s">
        <v>311</v>
      </c>
      <c r="C43" s="366"/>
      <c r="D43" s="362"/>
      <c r="E43" s="32"/>
      <c r="F43" s="32"/>
      <c r="G43" s="32"/>
    </row>
    <row r="44" spans="1:7" ht="12.75" hidden="1">
      <c r="A44" s="359"/>
      <c r="B44" s="360"/>
      <c r="C44" s="366" t="s">
        <v>391</v>
      </c>
      <c r="D44" s="362"/>
      <c r="E44" s="32"/>
      <c r="F44" s="32"/>
      <c r="G44" s="32"/>
    </row>
    <row r="45" spans="1:7" ht="12.75" hidden="1">
      <c r="A45" s="359"/>
      <c r="B45" s="360"/>
      <c r="C45" s="367" t="s">
        <v>52</v>
      </c>
      <c r="D45" s="362"/>
      <c r="E45" s="32"/>
      <c r="F45" s="32"/>
      <c r="G45" s="32"/>
    </row>
    <row r="46" spans="1:7" ht="12.75" hidden="1">
      <c r="A46" s="359"/>
      <c r="B46" s="360"/>
      <c r="C46" s="367" t="s">
        <v>312</v>
      </c>
      <c r="D46" s="362"/>
      <c r="E46" s="32"/>
      <c r="F46" s="32"/>
      <c r="G46" s="32"/>
    </row>
    <row r="47" spans="1:7" ht="12.75" hidden="1">
      <c r="A47" s="359"/>
      <c r="B47" s="360"/>
      <c r="C47" s="367" t="s">
        <v>313</v>
      </c>
      <c r="D47" s="362"/>
      <c r="E47" s="32"/>
      <c r="F47" s="32"/>
      <c r="G47" s="32"/>
    </row>
    <row r="48" spans="1:7" ht="12.75" hidden="1">
      <c r="A48" s="359"/>
      <c r="B48" s="360"/>
      <c r="C48" s="367" t="s">
        <v>314</v>
      </c>
      <c r="D48" s="362"/>
      <c r="E48" s="32"/>
      <c r="F48" s="32"/>
      <c r="G48" s="32"/>
    </row>
    <row r="49" spans="1:7" ht="12.75" hidden="1">
      <c r="A49" s="359"/>
      <c r="B49" s="360"/>
      <c r="C49" s="367" t="s">
        <v>315</v>
      </c>
      <c r="D49" s="362"/>
      <c r="E49" s="32"/>
      <c r="F49" s="32"/>
      <c r="G49" s="32"/>
    </row>
    <row r="50" spans="1:7" ht="12.75" hidden="1">
      <c r="A50" s="359"/>
      <c r="B50" s="366" t="s">
        <v>392</v>
      </c>
      <c r="C50" s="366"/>
      <c r="D50" s="362"/>
      <c r="E50" s="32"/>
      <c r="F50" s="32"/>
      <c r="G50" s="32"/>
    </row>
    <row r="51" spans="1:7" ht="12.75" hidden="1">
      <c r="A51" s="359"/>
      <c r="B51" s="366"/>
      <c r="C51" s="366" t="s">
        <v>393</v>
      </c>
      <c r="D51" s="362"/>
      <c r="E51" s="32"/>
      <c r="F51" s="32"/>
      <c r="G51" s="32"/>
    </row>
    <row r="52" spans="1:7" ht="12.75" hidden="1">
      <c r="A52" s="359"/>
      <c r="B52" s="366"/>
      <c r="C52" s="367" t="s">
        <v>394</v>
      </c>
      <c r="D52" s="362"/>
      <c r="E52" s="32"/>
      <c r="F52" s="32"/>
      <c r="G52" s="32"/>
    </row>
    <row r="53" spans="1:7" ht="12.75" hidden="1">
      <c r="A53" s="359"/>
      <c r="B53" s="366"/>
      <c r="C53" s="366" t="s">
        <v>395</v>
      </c>
      <c r="D53" s="362"/>
      <c r="E53" s="32"/>
      <c r="F53" s="32"/>
      <c r="G53" s="32"/>
    </row>
    <row r="54" spans="1:7" ht="12.75" hidden="1">
      <c r="A54" s="368"/>
      <c r="B54" s="367" t="s">
        <v>396</v>
      </c>
      <c r="C54" s="367"/>
      <c r="D54" s="362"/>
      <c r="E54" s="32"/>
      <c r="F54" s="32"/>
      <c r="G54" s="32"/>
    </row>
    <row r="55" spans="1:7" ht="12.75">
      <c r="A55" s="368"/>
      <c r="B55" s="367" t="s">
        <v>397</v>
      </c>
      <c r="C55" s="367"/>
      <c r="D55" s="362"/>
      <c r="E55" s="32"/>
      <c r="F55" s="32"/>
      <c r="G55" s="32"/>
    </row>
    <row r="56" spans="1:7" ht="12.75">
      <c r="A56" s="368"/>
      <c r="B56" s="367"/>
      <c r="C56" s="367" t="s">
        <v>398</v>
      </c>
      <c r="D56" s="362" t="s">
        <v>355</v>
      </c>
      <c r="E56" s="32"/>
      <c r="F56" s="32"/>
      <c r="G56" s="32"/>
    </row>
    <row r="57" spans="1:7" ht="12.75">
      <c r="A57" s="368"/>
      <c r="B57" s="367"/>
      <c r="C57" s="367" t="s">
        <v>399</v>
      </c>
      <c r="D57" s="362">
        <v>2363299.43</v>
      </c>
      <c r="E57" s="32">
        <v>97778.68</v>
      </c>
      <c r="F57" s="32">
        <v>389128.96</v>
      </c>
      <c r="G57" s="32">
        <v>405018.95</v>
      </c>
    </row>
    <row r="58" spans="1:7" ht="12.75">
      <c r="A58" s="368"/>
      <c r="B58" s="367"/>
      <c r="C58" s="367" t="s">
        <v>401</v>
      </c>
      <c r="D58" s="362" t="s">
        <v>355</v>
      </c>
      <c r="E58" s="91">
        <v>96622.86</v>
      </c>
      <c r="F58" s="91">
        <v>198722.77</v>
      </c>
      <c r="G58" s="91">
        <v>100830.88</v>
      </c>
    </row>
    <row r="59" spans="1:7" ht="12.75" hidden="1">
      <c r="A59" s="368"/>
      <c r="B59" s="367" t="s">
        <v>402</v>
      </c>
      <c r="C59" s="367"/>
      <c r="D59" s="362" t="s">
        <v>355</v>
      </c>
      <c r="E59" s="32"/>
      <c r="F59" s="32"/>
      <c r="G59" s="32"/>
    </row>
    <row r="60" spans="1:7" ht="12.75" hidden="1">
      <c r="A60" s="368"/>
      <c r="B60" s="367"/>
      <c r="C60" s="367" t="s">
        <v>403</v>
      </c>
      <c r="D60" s="362" t="s">
        <v>355</v>
      </c>
      <c r="E60" s="32"/>
      <c r="F60" s="32"/>
      <c r="G60" s="32"/>
    </row>
    <row r="61" spans="1:7" ht="12.75" hidden="1">
      <c r="A61" s="368"/>
      <c r="B61" s="367"/>
      <c r="C61" s="367" t="s">
        <v>404</v>
      </c>
      <c r="D61" s="362" t="s">
        <v>355</v>
      </c>
      <c r="E61" s="32"/>
      <c r="F61" s="32"/>
      <c r="G61" s="32"/>
    </row>
    <row r="62" spans="1:7" ht="12.75" hidden="1">
      <c r="A62" s="368"/>
      <c r="B62" s="367"/>
      <c r="C62" s="367" t="s">
        <v>405</v>
      </c>
      <c r="D62" s="362" t="s">
        <v>355</v>
      </c>
      <c r="E62" s="32"/>
      <c r="F62" s="32"/>
      <c r="G62" s="32"/>
    </row>
    <row r="63" spans="1:7" ht="12.75" hidden="1">
      <c r="A63" s="368"/>
      <c r="B63" s="367"/>
      <c r="C63" s="367" t="s">
        <v>406</v>
      </c>
      <c r="D63" s="362" t="s">
        <v>355</v>
      </c>
      <c r="E63" s="32"/>
      <c r="F63" s="32"/>
      <c r="G63" s="32"/>
    </row>
    <row r="64" spans="1:7" ht="12.75" hidden="1">
      <c r="A64" s="368"/>
      <c r="B64" s="367"/>
      <c r="C64" s="367" t="s">
        <v>407</v>
      </c>
      <c r="D64" s="362" t="s">
        <v>355</v>
      </c>
      <c r="E64" s="32"/>
      <c r="F64" s="32"/>
      <c r="G64" s="32"/>
    </row>
    <row r="65" spans="1:7" ht="12.75">
      <c r="A65" s="368"/>
      <c r="B65" s="367" t="s">
        <v>408</v>
      </c>
      <c r="C65" s="367"/>
      <c r="D65" s="362" t="s">
        <v>355</v>
      </c>
      <c r="E65" s="32"/>
      <c r="F65" s="32"/>
      <c r="G65" s="32"/>
    </row>
    <row r="66" spans="1:7" ht="12.75">
      <c r="A66" s="368"/>
      <c r="B66" s="367"/>
      <c r="C66" s="360" t="s">
        <v>409</v>
      </c>
      <c r="D66" s="362" t="s">
        <v>355</v>
      </c>
      <c r="E66" s="32"/>
      <c r="F66" s="32"/>
      <c r="G66" s="32"/>
    </row>
    <row r="67" spans="1:7" ht="12.75">
      <c r="A67" s="368"/>
      <c r="B67" s="367"/>
      <c r="C67" s="367" t="s">
        <v>410</v>
      </c>
      <c r="D67" s="362" t="s">
        <v>355</v>
      </c>
      <c r="E67" s="32"/>
      <c r="F67" s="32"/>
      <c r="G67" s="32"/>
    </row>
    <row r="68" spans="1:7" ht="12.75">
      <c r="A68" s="368"/>
      <c r="B68" s="367"/>
      <c r="C68" s="367" t="s">
        <v>411</v>
      </c>
      <c r="D68" s="362">
        <v>322523.01</v>
      </c>
      <c r="E68" s="32"/>
      <c r="F68" s="32"/>
      <c r="G68" s="32"/>
    </row>
    <row r="69" spans="1:7" ht="12.75">
      <c r="A69" s="368"/>
      <c r="B69" s="367"/>
      <c r="C69" s="367" t="s">
        <v>412</v>
      </c>
      <c r="D69" s="362" t="s">
        <v>355</v>
      </c>
      <c r="E69" s="32"/>
      <c r="F69" s="32"/>
      <c r="G69" s="32"/>
    </row>
    <row r="70" spans="1:7" ht="12.75">
      <c r="A70" s="368"/>
      <c r="B70" s="367" t="s">
        <v>413</v>
      </c>
      <c r="C70" s="367"/>
      <c r="D70" s="362" t="s">
        <v>355</v>
      </c>
      <c r="E70" s="32"/>
      <c r="F70" s="32"/>
      <c r="G70" s="32"/>
    </row>
    <row r="71" spans="1:7" ht="12.75" hidden="1">
      <c r="A71" s="368"/>
      <c r="B71" s="367"/>
      <c r="C71" s="367" t="s">
        <v>414</v>
      </c>
      <c r="D71" s="362" t="s">
        <v>355</v>
      </c>
      <c r="E71" s="32"/>
      <c r="F71" s="32"/>
      <c r="G71" s="32"/>
    </row>
    <row r="72" spans="1:7" ht="12.75" hidden="1">
      <c r="A72" s="368"/>
      <c r="B72" s="367"/>
      <c r="C72" s="367" t="s">
        <v>415</v>
      </c>
      <c r="D72" s="362" t="s">
        <v>355</v>
      </c>
      <c r="E72" s="32"/>
      <c r="F72" s="32"/>
      <c r="G72" s="32"/>
    </row>
    <row r="73" spans="1:7" ht="12.75" hidden="1">
      <c r="A73" s="368"/>
      <c r="B73" s="367"/>
      <c r="C73" s="367" t="s">
        <v>416</v>
      </c>
      <c r="D73" s="362" t="s">
        <v>355</v>
      </c>
      <c r="E73" s="32"/>
      <c r="F73" s="32"/>
      <c r="G73" s="32"/>
    </row>
    <row r="74" spans="1:7" ht="12.75">
      <c r="A74" s="368"/>
      <c r="B74" s="367"/>
      <c r="C74" s="367" t="s">
        <v>417</v>
      </c>
      <c r="D74" s="362">
        <v>9767188.96</v>
      </c>
      <c r="E74" s="32"/>
      <c r="F74" s="32"/>
      <c r="G74" s="32"/>
    </row>
    <row r="75" spans="1:7" ht="12.75" hidden="1">
      <c r="A75" s="359"/>
      <c r="B75" s="366" t="s">
        <v>418</v>
      </c>
      <c r="C75" s="360"/>
      <c r="D75" s="362"/>
      <c r="E75" s="32"/>
      <c r="F75" s="32"/>
      <c r="G75" s="32"/>
    </row>
    <row r="76" spans="1:7" ht="12.75" hidden="1">
      <c r="A76" s="359"/>
      <c r="B76" s="366"/>
      <c r="C76" s="360" t="s">
        <v>419</v>
      </c>
      <c r="D76" s="362"/>
      <c r="E76" s="32"/>
      <c r="F76" s="32"/>
      <c r="G76" s="32"/>
    </row>
    <row r="77" spans="1:7" ht="12.75" hidden="1">
      <c r="A77" s="359"/>
      <c r="B77" s="366"/>
      <c r="C77" s="360" t="s">
        <v>420</v>
      </c>
      <c r="D77" s="362"/>
      <c r="E77" s="32"/>
      <c r="F77" s="32"/>
      <c r="G77" s="32"/>
    </row>
    <row r="78" spans="1:7" ht="12.75" hidden="1">
      <c r="A78" s="359"/>
      <c r="B78" s="366"/>
      <c r="C78" s="360" t="s">
        <v>421</v>
      </c>
      <c r="D78" s="362"/>
      <c r="E78" s="32"/>
      <c r="F78" s="32"/>
      <c r="G78" s="32"/>
    </row>
    <row r="79" spans="1:7" ht="12.75" hidden="1">
      <c r="A79" s="359"/>
      <c r="B79" s="366"/>
      <c r="C79" s="360" t="s">
        <v>422</v>
      </c>
      <c r="D79" s="362"/>
      <c r="E79" s="32"/>
      <c r="F79" s="32"/>
      <c r="G79" s="32"/>
    </row>
    <row r="80" spans="1:7" ht="12.75" hidden="1">
      <c r="A80" s="359"/>
      <c r="B80" s="366"/>
      <c r="C80" s="360" t="s">
        <v>423</v>
      </c>
      <c r="D80" s="362"/>
      <c r="E80" s="32"/>
      <c r="F80" s="32"/>
      <c r="G80" s="32"/>
    </row>
    <row r="81" spans="1:7" ht="12.75" hidden="1">
      <c r="A81" s="359"/>
      <c r="B81" s="366"/>
      <c r="C81" s="360" t="s">
        <v>424</v>
      </c>
      <c r="D81" s="362"/>
      <c r="E81" s="32"/>
      <c r="F81" s="32"/>
      <c r="G81" s="32"/>
    </row>
    <row r="82" spans="1:7" ht="12.75" hidden="1">
      <c r="A82" s="359"/>
      <c r="B82" s="366"/>
      <c r="C82" s="360" t="s">
        <v>425</v>
      </c>
      <c r="D82" s="362"/>
      <c r="E82" s="32"/>
      <c r="F82" s="32"/>
      <c r="G82" s="32"/>
    </row>
    <row r="83" spans="1:7" ht="12.75" hidden="1">
      <c r="A83" s="359"/>
      <c r="B83" s="369" t="s">
        <v>426</v>
      </c>
      <c r="C83" s="370"/>
      <c r="D83" s="371"/>
      <c r="E83" s="32"/>
      <c r="F83" s="32"/>
      <c r="G83" s="32"/>
    </row>
    <row r="84" spans="1:7" ht="12.75">
      <c r="A84" s="359"/>
      <c r="B84" s="366" t="s">
        <v>371</v>
      </c>
      <c r="C84" s="360"/>
      <c r="D84" s="361"/>
      <c r="E84" s="32"/>
      <c r="F84" s="32"/>
      <c r="G84" s="32"/>
    </row>
    <row r="85" spans="1:7" ht="12.75">
      <c r="A85" s="359"/>
      <c r="B85" s="372"/>
      <c r="C85" s="373" t="s">
        <v>427</v>
      </c>
      <c r="D85" s="362">
        <v>21907026.35</v>
      </c>
      <c r="E85" s="32"/>
      <c r="F85" s="32"/>
      <c r="G85" s="32"/>
    </row>
    <row r="86" spans="1:7" ht="12.75">
      <c r="A86" s="359"/>
      <c r="B86" s="372"/>
      <c r="C86" s="373" t="s">
        <v>428</v>
      </c>
      <c r="D86" s="362" t="s">
        <v>355</v>
      </c>
      <c r="E86" s="32"/>
      <c r="F86" s="32"/>
      <c r="G86" s="32"/>
    </row>
    <row r="87" spans="1:7" ht="12.75">
      <c r="A87" s="359"/>
      <c r="B87" s="372"/>
      <c r="C87" s="373" t="s">
        <v>429</v>
      </c>
      <c r="D87" s="362" t="s">
        <v>355</v>
      </c>
      <c r="E87" s="32"/>
      <c r="F87" s="32"/>
      <c r="G87" s="32"/>
    </row>
    <row r="88" spans="1:7" ht="12.75">
      <c r="A88" s="359"/>
      <c r="B88" s="372"/>
      <c r="C88" s="373" t="s">
        <v>430</v>
      </c>
      <c r="D88" s="362" t="s">
        <v>355</v>
      </c>
      <c r="E88" s="32"/>
      <c r="F88" s="32"/>
      <c r="G88" s="32"/>
    </row>
    <row r="89" spans="1:7" ht="12.75">
      <c r="A89" s="359"/>
      <c r="B89" s="372"/>
      <c r="C89" s="373" t="s">
        <v>431</v>
      </c>
      <c r="D89" s="362" t="s">
        <v>355</v>
      </c>
      <c r="E89" s="32"/>
      <c r="F89" s="32"/>
      <c r="G89" s="32"/>
    </row>
    <row r="90" spans="1:7" ht="12.75">
      <c r="A90" s="357"/>
      <c r="B90" s="374" t="s">
        <v>99</v>
      </c>
      <c r="C90" s="356"/>
      <c r="D90" s="365">
        <f>SUM(D25:D89)</f>
        <v>262879530.19</v>
      </c>
      <c r="E90" s="32">
        <f>SUM(E25:E89)</f>
        <v>4957291.36</v>
      </c>
      <c r="F90" s="32">
        <f>SUM(F25:F89)</f>
        <v>11618620.31</v>
      </c>
      <c r="G90" s="32">
        <f>SUM(G25:G89)</f>
        <v>36754844.75000001</v>
      </c>
    </row>
    <row r="91" spans="1:7" ht="12.75">
      <c r="A91" s="375"/>
      <c r="B91" s="373"/>
      <c r="C91" s="373"/>
      <c r="D91" s="362"/>
      <c r="E91" s="32"/>
      <c r="F91" s="32"/>
      <c r="G91" s="32"/>
    </row>
    <row r="92" spans="1:7" ht="12.75">
      <c r="A92" s="376" t="s">
        <v>432</v>
      </c>
      <c r="B92" s="356"/>
      <c r="C92" s="356"/>
      <c r="D92" s="361">
        <f>+D21-D90</f>
        <v>-9347144.830000013</v>
      </c>
      <c r="E92" s="32"/>
      <c r="F92" s="32"/>
      <c r="G92" s="32"/>
    </row>
    <row r="93" spans="1:7" ht="12.75">
      <c r="A93" s="376"/>
      <c r="B93" s="356"/>
      <c r="C93" s="356"/>
      <c r="D93" s="362"/>
      <c r="E93" s="32"/>
      <c r="F93" s="32"/>
      <c r="G93" s="32"/>
    </row>
    <row r="94" spans="1:7" ht="12.75">
      <c r="A94" s="376" t="s">
        <v>433</v>
      </c>
      <c r="B94" s="356"/>
      <c r="C94" s="356"/>
      <c r="D94" s="362"/>
      <c r="E94" s="32"/>
      <c r="F94" s="32"/>
      <c r="G94" s="32"/>
    </row>
    <row r="95" spans="1:7" ht="12.75">
      <c r="A95" s="376"/>
      <c r="B95" s="356"/>
      <c r="C95" s="356"/>
      <c r="D95" s="362"/>
      <c r="E95" s="32"/>
      <c r="F95" s="32"/>
      <c r="G95" s="32"/>
    </row>
    <row r="96" spans="1:7" ht="12.75" hidden="1">
      <c r="A96" s="374" t="s">
        <v>366</v>
      </c>
      <c r="B96" s="356"/>
      <c r="C96" s="356"/>
      <c r="D96" s="362">
        <v>0</v>
      </c>
      <c r="E96" s="32"/>
      <c r="F96" s="32"/>
      <c r="G96" s="32"/>
    </row>
    <row r="97" spans="1:7" ht="12.75" hidden="1">
      <c r="A97" s="359"/>
      <c r="B97" s="360" t="s">
        <v>434</v>
      </c>
      <c r="C97" s="373"/>
      <c r="D97" s="362" t="s">
        <v>355</v>
      </c>
      <c r="E97" s="32"/>
      <c r="F97" s="32"/>
      <c r="G97" s="32"/>
    </row>
    <row r="98" spans="1:7" ht="12.75" hidden="1">
      <c r="A98" s="359"/>
      <c r="B98" s="360" t="s">
        <v>435</v>
      </c>
      <c r="C98" s="373"/>
      <c r="D98" s="362" t="s">
        <v>355</v>
      </c>
      <c r="E98" s="32"/>
      <c r="F98" s="32"/>
      <c r="G98" s="32"/>
    </row>
    <row r="99" spans="1:7" ht="12.75" hidden="1">
      <c r="A99" s="359"/>
      <c r="B99" s="360" t="s">
        <v>436</v>
      </c>
      <c r="C99" s="373"/>
      <c r="D99" s="362" t="s">
        <v>355</v>
      </c>
      <c r="E99" s="32"/>
      <c r="F99" s="32"/>
      <c r="G99" s="32"/>
    </row>
    <row r="100" spans="1:7" ht="12.75" hidden="1">
      <c r="A100" s="359"/>
      <c r="B100" s="377"/>
      <c r="C100" s="373" t="s">
        <v>437</v>
      </c>
      <c r="D100" s="362" t="s">
        <v>355</v>
      </c>
      <c r="E100" s="32"/>
      <c r="F100" s="32"/>
      <c r="G100" s="32"/>
    </row>
    <row r="101" spans="1:7" ht="12.75" hidden="1">
      <c r="A101" s="359"/>
      <c r="B101" s="377"/>
      <c r="C101" s="373" t="s">
        <v>438</v>
      </c>
      <c r="D101" s="362" t="s">
        <v>355</v>
      </c>
      <c r="E101" s="32"/>
      <c r="F101" s="32"/>
      <c r="G101" s="32"/>
    </row>
    <row r="102" spans="1:7" ht="12.75" hidden="1">
      <c r="A102" s="359"/>
      <c r="B102" s="377"/>
      <c r="C102" s="373" t="s">
        <v>439</v>
      </c>
      <c r="D102" s="362" t="s">
        <v>355</v>
      </c>
      <c r="E102" s="32"/>
      <c r="F102" s="32"/>
      <c r="G102" s="32"/>
    </row>
    <row r="103" spans="1:7" ht="12.75" hidden="1">
      <c r="A103" s="359"/>
      <c r="B103" s="377"/>
      <c r="C103" s="373" t="s">
        <v>440</v>
      </c>
      <c r="D103" s="362" t="s">
        <v>355</v>
      </c>
      <c r="E103" s="32"/>
      <c r="F103" s="32"/>
      <c r="G103" s="32"/>
    </row>
    <row r="104" spans="1:7" ht="12.75" hidden="1">
      <c r="A104" s="359"/>
      <c r="B104" s="360" t="s">
        <v>441</v>
      </c>
      <c r="C104" s="373"/>
      <c r="D104" s="362" t="s">
        <v>355</v>
      </c>
      <c r="E104" s="32"/>
      <c r="F104" s="32"/>
      <c r="G104" s="32"/>
    </row>
    <row r="105" spans="1:7" ht="12.75" hidden="1">
      <c r="A105" s="359"/>
      <c r="B105" s="360" t="s">
        <v>442</v>
      </c>
      <c r="C105" s="373"/>
      <c r="D105" s="362" t="s">
        <v>355</v>
      </c>
      <c r="E105" s="32"/>
      <c r="F105" s="32"/>
      <c r="G105" s="32"/>
    </row>
    <row r="106" spans="1:7" ht="12.75" hidden="1">
      <c r="A106" s="359"/>
      <c r="B106" s="377"/>
      <c r="C106" s="373" t="s">
        <v>443</v>
      </c>
      <c r="D106" s="362" t="s">
        <v>355</v>
      </c>
      <c r="E106" s="32"/>
      <c r="F106" s="32"/>
      <c r="G106" s="32"/>
    </row>
    <row r="107" spans="1:7" ht="12.75" hidden="1">
      <c r="A107" s="359"/>
      <c r="B107" s="377"/>
      <c r="C107" s="373" t="s">
        <v>444</v>
      </c>
      <c r="D107" s="362" t="s">
        <v>355</v>
      </c>
      <c r="E107" s="32"/>
      <c r="F107" s="32"/>
      <c r="G107" s="32"/>
    </row>
    <row r="108" spans="1:7" ht="12.75" hidden="1">
      <c r="A108" s="359"/>
      <c r="B108" s="377"/>
      <c r="C108" s="373" t="s">
        <v>445</v>
      </c>
      <c r="D108" s="362" t="s">
        <v>355</v>
      </c>
      <c r="E108" s="32"/>
      <c r="F108" s="32"/>
      <c r="G108" s="32"/>
    </row>
    <row r="109" spans="1:7" ht="12.75" hidden="1">
      <c r="A109" s="359"/>
      <c r="B109" s="377"/>
      <c r="C109" s="373" t="s">
        <v>446</v>
      </c>
      <c r="D109" s="362" t="s">
        <v>355</v>
      </c>
      <c r="E109" s="32"/>
      <c r="F109" s="32"/>
      <c r="G109" s="32"/>
    </row>
    <row r="110" spans="1:7" ht="12.75" hidden="1">
      <c r="A110" s="359"/>
      <c r="B110" s="360" t="s">
        <v>447</v>
      </c>
      <c r="C110" s="373"/>
      <c r="D110" s="362" t="s">
        <v>355</v>
      </c>
      <c r="E110" s="32"/>
      <c r="F110" s="32"/>
      <c r="G110" s="32"/>
    </row>
    <row r="111" spans="1:7" ht="12.75" hidden="1">
      <c r="A111" s="359"/>
      <c r="B111" s="360"/>
      <c r="C111" s="373" t="s">
        <v>448</v>
      </c>
      <c r="D111" s="362" t="s">
        <v>355</v>
      </c>
      <c r="E111" s="32"/>
      <c r="F111" s="32"/>
      <c r="G111" s="32"/>
    </row>
    <row r="112" spans="1:7" ht="12.75" hidden="1">
      <c r="A112" s="359"/>
      <c r="B112" s="360"/>
      <c r="C112" s="373" t="s">
        <v>449</v>
      </c>
      <c r="D112" s="362" t="s">
        <v>355</v>
      </c>
      <c r="E112" s="32"/>
      <c r="F112" s="32"/>
      <c r="G112" s="32"/>
    </row>
    <row r="113" spans="1:7" ht="12.75" hidden="1">
      <c r="A113" s="359"/>
      <c r="B113" s="360" t="s">
        <v>450</v>
      </c>
      <c r="C113" s="373"/>
      <c r="D113" s="362" t="s">
        <v>355</v>
      </c>
      <c r="E113" s="32"/>
      <c r="F113" s="32"/>
      <c r="G113" s="32"/>
    </row>
    <row r="114" spans="1:7" ht="12.75" hidden="1">
      <c r="A114" s="359"/>
      <c r="B114" s="366" t="s">
        <v>371</v>
      </c>
      <c r="C114" s="360"/>
      <c r="D114" s="361" t="s">
        <v>355</v>
      </c>
      <c r="E114" s="32"/>
      <c r="F114" s="32"/>
      <c r="G114" s="32"/>
    </row>
    <row r="115" spans="1:7" ht="12.75" hidden="1">
      <c r="A115" s="363" t="s">
        <v>97</v>
      </c>
      <c r="B115" s="356"/>
      <c r="C115" s="356"/>
      <c r="D115" s="378">
        <f>+D96</f>
        <v>0</v>
      </c>
      <c r="E115" s="32"/>
      <c r="F115" s="32"/>
      <c r="G115" s="32"/>
    </row>
    <row r="116" spans="1:7" ht="12.75">
      <c r="A116" s="363"/>
      <c r="B116" s="356"/>
      <c r="C116" s="356"/>
      <c r="D116" s="379"/>
      <c r="E116" s="32"/>
      <c r="F116" s="32"/>
      <c r="G116" s="32"/>
    </row>
    <row r="117" spans="1:7" ht="12.75" hidden="1">
      <c r="A117" s="358" t="s">
        <v>372</v>
      </c>
      <c r="B117" s="356"/>
      <c r="C117" s="356"/>
      <c r="D117" s="362"/>
      <c r="E117" s="32"/>
      <c r="F117" s="32"/>
      <c r="G117" s="32"/>
    </row>
    <row r="118" spans="1:7" ht="12.75" hidden="1">
      <c r="A118" s="359"/>
      <c r="B118" s="360" t="s">
        <v>451</v>
      </c>
      <c r="C118" s="373"/>
      <c r="D118" s="362" t="s">
        <v>355</v>
      </c>
      <c r="E118" s="32"/>
      <c r="F118" s="32"/>
      <c r="G118" s="32"/>
    </row>
    <row r="119" spans="1:7" ht="12.75" hidden="1">
      <c r="A119" s="359"/>
      <c r="B119" s="360" t="s">
        <v>452</v>
      </c>
      <c r="C119" s="373"/>
      <c r="D119" s="362" t="s">
        <v>355</v>
      </c>
      <c r="E119" s="32"/>
      <c r="F119" s="32"/>
      <c r="G119" s="32"/>
    </row>
    <row r="120" spans="1:7" ht="12.75" hidden="1">
      <c r="A120" s="359"/>
      <c r="B120" s="377"/>
      <c r="C120" s="373" t="s">
        <v>453</v>
      </c>
      <c r="D120" s="362" t="s">
        <v>355</v>
      </c>
      <c r="E120" s="32"/>
      <c r="F120" s="32"/>
      <c r="G120" s="32"/>
    </row>
    <row r="121" spans="1:7" ht="12.75" hidden="1">
      <c r="A121" s="359"/>
      <c r="B121" s="377"/>
      <c r="C121" s="373" t="s">
        <v>454</v>
      </c>
      <c r="D121" s="362" t="s">
        <v>355</v>
      </c>
      <c r="E121" s="32"/>
      <c r="F121" s="32"/>
      <c r="G121" s="32"/>
    </row>
    <row r="122" spans="1:7" ht="12.75" hidden="1">
      <c r="A122" s="359"/>
      <c r="B122" s="377"/>
      <c r="C122" s="373" t="s">
        <v>455</v>
      </c>
      <c r="D122" s="362" t="s">
        <v>355</v>
      </c>
      <c r="E122" s="32"/>
      <c r="F122" s="32"/>
      <c r="G122" s="32"/>
    </row>
    <row r="123" spans="1:7" ht="12.75" hidden="1">
      <c r="A123" s="359"/>
      <c r="B123" s="377"/>
      <c r="C123" s="373" t="s">
        <v>456</v>
      </c>
      <c r="D123" s="362">
        <v>0</v>
      </c>
      <c r="E123" s="32"/>
      <c r="F123" s="32"/>
      <c r="G123" s="32"/>
    </row>
    <row r="124" spans="1:7" ht="12.75" hidden="1">
      <c r="A124" s="359"/>
      <c r="B124" s="377"/>
      <c r="C124" s="373" t="s">
        <v>457</v>
      </c>
      <c r="D124" s="362" t="s">
        <v>355</v>
      </c>
      <c r="E124" s="32"/>
      <c r="F124" s="32"/>
      <c r="G124" s="32"/>
    </row>
    <row r="125" spans="1:7" ht="12.75" hidden="1">
      <c r="A125" s="359"/>
      <c r="B125" s="377"/>
      <c r="C125" s="380" t="s">
        <v>458</v>
      </c>
      <c r="D125" s="362" t="s">
        <v>355</v>
      </c>
      <c r="E125" s="32"/>
      <c r="F125" s="32"/>
      <c r="G125" s="32"/>
    </row>
    <row r="126" spans="1:7" ht="12.75" hidden="1">
      <c r="A126" s="359"/>
      <c r="B126" s="377"/>
      <c r="C126" s="372" t="s">
        <v>459</v>
      </c>
      <c r="D126" s="362" t="s">
        <v>355</v>
      </c>
      <c r="E126" s="32"/>
      <c r="F126" s="32"/>
      <c r="G126" s="32"/>
    </row>
    <row r="127" spans="1:7" ht="12.75" hidden="1">
      <c r="A127" s="359"/>
      <c r="B127" s="377"/>
      <c r="C127" s="372" t="s">
        <v>519</v>
      </c>
      <c r="D127" s="362" t="s">
        <v>355</v>
      </c>
      <c r="E127" s="32"/>
      <c r="F127" s="32"/>
      <c r="G127" s="32"/>
    </row>
    <row r="128" spans="1:7" ht="12.75" hidden="1">
      <c r="A128" s="359"/>
      <c r="B128" s="377"/>
      <c r="C128" s="380" t="s">
        <v>460</v>
      </c>
      <c r="D128" s="362" t="s">
        <v>355</v>
      </c>
      <c r="E128" s="32"/>
      <c r="F128" s="32"/>
      <c r="G128" s="32"/>
    </row>
    <row r="129" spans="1:7" ht="12.75" hidden="1">
      <c r="A129" s="359"/>
      <c r="B129" s="377"/>
      <c r="C129" s="372" t="s">
        <v>461</v>
      </c>
      <c r="D129" s="362" t="s">
        <v>355</v>
      </c>
      <c r="E129" s="32"/>
      <c r="F129" s="32"/>
      <c r="G129" s="32"/>
    </row>
    <row r="130" spans="1:7" ht="12.75" hidden="1">
      <c r="A130" s="359"/>
      <c r="B130" s="377"/>
      <c r="C130" s="380" t="s">
        <v>462</v>
      </c>
      <c r="D130" s="362" t="s">
        <v>355</v>
      </c>
      <c r="E130" s="32"/>
      <c r="F130" s="32"/>
      <c r="G130" s="32"/>
    </row>
    <row r="131" spans="1:7" ht="12.75" hidden="1">
      <c r="A131" s="359"/>
      <c r="B131" s="377"/>
      <c r="C131" s="372" t="s">
        <v>463</v>
      </c>
      <c r="D131" s="362" t="s">
        <v>355</v>
      </c>
      <c r="E131" s="32"/>
      <c r="F131" s="32"/>
      <c r="G131" s="32"/>
    </row>
    <row r="132" spans="1:7" ht="12.75" hidden="1">
      <c r="A132" s="359"/>
      <c r="B132" s="377"/>
      <c r="C132" s="380" t="s">
        <v>464</v>
      </c>
      <c r="D132" s="362" t="s">
        <v>355</v>
      </c>
      <c r="E132" s="32"/>
      <c r="F132" s="32"/>
      <c r="G132" s="32"/>
    </row>
    <row r="133" spans="1:7" ht="12.75" hidden="1">
      <c r="A133" s="359"/>
      <c r="B133" s="377"/>
      <c r="C133" s="373" t="s">
        <v>465</v>
      </c>
      <c r="D133" s="362" t="s">
        <v>355</v>
      </c>
      <c r="E133" s="32"/>
      <c r="F133" s="32"/>
      <c r="G133" s="32"/>
    </row>
    <row r="134" spans="1:7" ht="12.75" hidden="1">
      <c r="A134" s="359"/>
      <c r="B134" s="377"/>
      <c r="C134" s="373" t="s">
        <v>466</v>
      </c>
      <c r="D134" s="362" t="s">
        <v>355</v>
      </c>
      <c r="E134" s="32"/>
      <c r="F134" s="32"/>
      <c r="G134" s="32"/>
    </row>
    <row r="135" spans="1:7" ht="12.75" hidden="1">
      <c r="A135" s="359"/>
      <c r="B135" s="377"/>
      <c r="C135" s="373" t="s">
        <v>467</v>
      </c>
      <c r="D135" s="362" t="s">
        <v>355</v>
      </c>
      <c r="E135" s="32"/>
      <c r="F135" s="32"/>
      <c r="G135" s="32"/>
    </row>
    <row r="136" spans="1:7" ht="12.75" hidden="1">
      <c r="A136" s="359"/>
      <c r="B136" s="377"/>
      <c r="C136" s="373" t="s">
        <v>468</v>
      </c>
      <c r="D136" s="362" t="s">
        <v>355</v>
      </c>
      <c r="E136" s="32"/>
      <c r="F136" s="32"/>
      <c r="G136" s="32"/>
    </row>
    <row r="137" spans="1:7" ht="12.75" hidden="1">
      <c r="A137" s="359"/>
      <c r="B137" s="377"/>
      <c r="C137" s="373" t="s">
        <v>469</v>
      </c>
      <c r="D137" s="362" t="s">
        <v>355</v>
      </c>
      <c r="E137" s="32"/>
      <c r="F137" s="32"/>
      <c r="G137" s="32"/>
    </row>
    <row r="138" spans="1:7" ht="12.75" hidden="1">
      <c r="A138" s="359"/>
      <c r="B138" s="377"/>
      <c r="C138" s="373" t="s">
        <v>470</v>
      </c>
      <c r="D138" s="362" t="s">
        <v>355</v>
      </c>
      <c r="E138" s="32"/>
      <c r="F138" s="32"/>
      <c r="G138" s="32"/>
    </row>
    <row r="139" spans="1:7" ht="12.75" hidden="1">
      <c r="A139" s="359"/>
      <c r="B139" s="377"/>
      <c r="C139" s="373" t="s">
        <v>471</v>
      </c>
      <c r="D139" s="362" t="s">
        <v>355</v>
      </c>
      <c r="E139" s="32"/>
      <c r="F139" s="32"/>
      <c r="G139" s="32"/>
    </row>
    <row r="140" spans="1:7" ht="12.75" hidden="1">
      <c r="A140" s="359"/>
      <c r="B140" s="360" t="s">
        <v>302</v>
      </c>
      <c r="C140" s="373"/>
      <c r="D140" s="362" t="s">
        <v>355</v>
      </c>
      <c r="E140" s="32"/>
      <c r="F140" s="32"/>
      <c r="G140" s="32"/>
    </row>
    <row r="141" spans="1:7" ht="12.75" hidden="1">
      <c r="A141" s="359"/>
      <c r="B141" s="377"/>
      <c r="C141" s="373" t="s">
        <v>472</v>
      </c>
      <c r="D141" s="362" t="s">
        <v>355</v>
      </c>
      <c r="E141" s="32"/>
      <c r="F141" s="32"/>
      <c r="G141" s="32"/>
    </row>
    <row r="142" spans="1:7" ht="12.75" hidden="1">
      <c r="A142" s="359"/>
      <c r="B142" s="377"/>
      <c r="C142" s="373" t="s">
        <v>473</v>
      </c>
      <c r="D142" s="362" t="s">
        <v>355</v>
      </c>
      <c r="E142" s="32"/>
      <c r="F142" s="32"/>
      <c r="G142" s="32"/>
    </row>
    <row r="143" spans="1:7" ht="12.75" hidden="1">
      <c r="A143" s="359"/>
      <c r="B143" s="377"/>
      <c r="C143" s="373" t="s">
        <v>474</v>
      </c>
      <c r="D143" s="362" t="s">
        <v>355</v>
      </c>
      <c r="E143" s="32"/>
      <c r="F143" s="32"/>
      <c r="G143" s="32"/>
    </row>
    <row r="144" spans="1:7" ht="12.75" hidden="1">
      <c r="A144" s="359"/>
      <c r="B144" s="377"/>
      <c r="C144" s="373" t="s">
        <v>475</v>
      </c>
      <c r="D144" s="362" t="s">
        <v>355</v>
      </c>
      <c r="E144" s="32"/>
      <c r="F144" s="32"/>
      <c r="G144" s="32"/>
    </row>
    <row r="145" spans="1:7" ht="12.75" hidden="1">
      <c r="A145" s="359"/>
      <c r="B145" s="377"/>
      <c r="C145" s="373" t="s">
        <v>476</v>
      </c>
      <c r="D145" s="362" t="s">
        <v>355</v>
      </c>
      <c r="E145" s="32"/>
      <c r="F145" s="32"/>
      <c r="G145" s="32"/>
    </row>
    <row r="146" spans="1:7" ht="12.75" hidden="1">
      <c r="A146" s="359"/>
      <c r="B146" s="360" t="s">
        <v>477</v>
      </c>
      <c r="C146" s="373"/>
      <c r="D146" s="362" t="s">
        <v>355</v>
      </c>
      <c r="E146" s="32"/>
      <c r="F146" s="32"/>
      <c r="G146" s="32"/>
    </row>
    <row r="147" spans="1:7" ht="12.75" hidden="1">
      <c r="A147" s="359"/>
      <c r="B147" s="360"/>
      <c r="C147" s="373" t="s">
        <v>478</v>
      </c>
      <c r="D147" s="362" t="s">
        <v>355</v>
      </c>
      <c r="E147" s="32"/>
      <c r="F147" s="32"/>
      <c r="G147" s="32"/>
    </row>
    <row r="148" spans="1:7" ht="12.75" hidden="1">
      <c r="A148" s="359"/>
      <c r="B148" s="360"/>
      <c r="C148" s="373" t="s">
        <v>479</v>
      </c>
      <c r="D148" s="362" t="s">
        <v>355</v>
      </c>
      <c r="E148" s="32"/>
      <c r="F148" s="32"/>
      <c r="G148" s="32"/>
    </row>
    <row r="149" spans="1:7" ht="12.75" hidden="1">
      <c r="A149" s="359"/>
      <c r="B149" s="360"/>
      <c r="C149" s="373" t="s">
        <v>480</v>
      </c>
      <c r="D149" s="362" t="s">
        <v>355</v>
      </c>
      <c r="E149" s="32"/>
      <c r="F149" s="32"/>
      <c r="G149" s="32"/>
    </row>
    <row r="150" spans="1:7" ht="12.75" hidden="1">
      <c r="A150" s="359"/>
      <c r="B150" s="360"/>
      <c r="C150" s="373" t="s">
        <v>385</v>
      </c>
      <c r="D150" s="362" t="s">
        <v>355</v>
      </c>
      <c r="E150" s="32"/>
      <c r="F150" s="32"/>
      <c r="G150" s="32"/>
    </row>
    <row r="151" spans="1:7" ht="12.75" hidden="1">
      <c r="A151" s="359"/>
      <c r="B151" s="360"/>
      <c r="C151" s="373" t="s">
        <v>481</v>
      </c>
      <c r="D151" s="362" t="s">
        <v>355</v>
      </c>
      <c r="E151" s="32"/>
      <c r="F151" s="32"/>
      <c r="G151" s="32"/>
    </row>
    <row r="152" spans="1:7" ht="12.75" hidden="1">
      <c r="A152" s="359"/>
      <c r="B152" s="360" t="s">
        <v>482</v>
      </c>
      <c r="C152" s="373"/>
      <c r="D152" s="362" t="s">
        <v>355</v>
      </c>
      <c r="E152" s="32"/>
      <c r="F152" s="32"/>
      <c r="G152" s="32"/>
    </row>
    <row r="153" spans="1:7" ht="12.75" hidden="1">
      <c r="A153" s="359"/>
      <c r="B153" s="360"/>
      <c r="C153" s="373" t="s">
        <v>483</v>
      </c>
      <c r="D153" s="362" t="s">
        <v>355</v>
      </c>
      <c r="E153" s="32"/>
      <c r="F153" s="32"/>
      <c r="G153" s="32"/>
    </row>
    <row r="154" spans="1:7" ht="12.75" hidden="1">
      <c r="A154" s="359"/>
      <c r="B154" s="360"/>
      <c r="C154" s="373" t="s">
        <v>484</v>
      </c>
      <c r="D154" s="362" t="s">
        <v>355</v>
      </c>
      <c r="E154" s="32"/>
      <c r="F154" s="32"/>
      <c r="G154" s="32"/>
    </row>
    <row r="155" spans="1:7" ht="12.75" hidden="1">
      <c r="A155" s="359"/>
      <c r="B155" s="360" t="s">
        <v>485</v>
      </c>
      <c r="C155" s="373"/>
      <c r="D155" s="362" t="s">
        <v>355</v>
      </c>
      <c r="E155" s="32"/>
      <c r="F155" s="32"/>
      <c r="G155" s="32"/>
    </row>
    <row r="156" spans="1:7" ht="12.75" hidden="1">
      <c r="A156" s="359"/>
      <c r="B156" s="373"/>
      <c r="C156" s="373" t="s">
        <v>486</v>
      </c>
      <c r="D156" s="362" t="s">
        <v>355</v>
      </c>
      <c r="E156" s="32"/>
      <c r="F156" s="32"/>
      <c r="G156" s="32"/>
    </row>
    <row r="157" spans="1:7" ht="12.75" hidden="1">
      <c r="A157" s="359"/>
      <c r="B157" s="373"/>
      <c r="C157" s="373" t="s">
        <v>487</v>
      </c>
      <c r="D157" s="362" t="s">
        <v>355</v>
      </c>
      <c r="E157" s="32"/>
      <c r="F157" s="32"/>
      <c r="G157" s="32"/>
    </row>
    <row r="158" spans="1:7" ht="12.75" hidden="1">
      <c r="A158" s="359"/>
      <c r="B158" s="373"/>
      <c r="C158" s="373"/>
      <c r="D158" s="362"/>
      <c r="E158" s="32"/>
      <c r="F158" s="32"/>
      <c r="G158" s="32"/>
    </row>
    <row r="159" spans="1:7" ht="12.75" hidden="1">
      <c r="A159" s="359"/>
      <c r="B159" s="366" t="s">
        <v>371</v>
      </c>
      <c r="C159" s="360"/>
      <c r="D159" s="361" t="s">
        <v>355</v>
      </c>
      <c r="E159" s="32"/>
      <c r="F159" s="32"/>
      <c r="G159" s="32"/>
    </row>
    <row r="160" spans="1:7" ht="12.75" hidden="1">
      <c r="A160" s="363" t="s">
        <v>99</v>
      </c>
      <c r="B160" s="356"/>
      <c r="C160" s="356"/>
      <c r="D160" s="378">
        <f>SUM(D118:D159)</f>
        <v>0</v>
      </c>
      <c r="E160" s="32"/>
      <c r="F160" s="32"/>
      <c r="G160" s="32"/>
    </row>
    <row r="161" spans="1:7" ht="12.75" hidden="1">
      <c r="A161" s="363"/>
      <c r="B161" s="356"/>
      <c r="C161" s="356"/>
      <c r="D161" s="362"/>
      <c r="E161" s="32"/>
      <c r="F161" s="32"/>
      <c r="G161" s="32"/>
    </row>
    <row r="162" spans="1:7" ht="12.75">
      <c r="A162" s="376" t="s">
        <v>488</v>
      </c>
      <c r="B162" s="356"/>
      <c r="C162" s="356"/>
      <c r="D162" s="361">
        <f>+D115-D160</f>
        <v>0</v>
      </c>
      <c r="E162" s="32"/>
      <c r="F162" s="32"/>
      <c r="G162" s="32"/>
    </row>
    <row r="163" spans="1:7" ht="12.75">
      <c r="A163" s="376"/>
      <c r="B163" s="356"/>
      <c r="C163" s="356"/>
      <c r="D163" s="362"/>
      <c r="E163" s="32"/>
      <c r="F163" s="32"/>
      <c r="G163" s="32"/>
    </row>
    <row r="164" spans="1:7" ht="12.75" hidden="1">
      <c r="A164" s="356" t="s">
        <v>489</v>
      </c>
      <c r="B164" s="356"/>
      <c r="C164" s="356"/>
      <c r="D164" s="362">
        <v>0</v>
      </c>
      <c r="E164" s="32"/>
      <c r="F164" s="32"/>
      <c r="G164" s="32"/>
    </row>
    <row r="165" spans="1:7" ht="12.75" hidden="1">
      <c r="A165" s="356"/>
      <c r="B165" s="356"/>
      <c r="C165" s="356"/>
      <c r="D165" s="362"/>
      <c r="E165" s="32"/>
      <c r="F165" s="32"/>
      <c r="G165" s="32"/>
    </row>
    <row r="166" spans="1:7" ht="12.75" hidden="1">
      <c r="A166" s="358" t="s">
        <v>366</v>
      </c>
      <c r="B166" s="356"/>
      <c r="C166" s="356"/>
      <c r="D166" s="362"/>
      <c r="E166" s="32"/>
      <c r="F166" s="32"/>
      <c r="G166" s="32"/>
    </row>
    <row r="167" spans="1:7" ht="12.75" hidden="1">
      <c r="A167" s="373"/>
      <c r="B167" s="360" t="s">
        <v>490</v>
      </c>
      <c r="C167" s="373"/>
      <c r="D167" s="362" t="s">
        <v>355</v>
      </c>
      <c r="E167" s="32"/>
      <c r="F167" s="32"/>
      <c r="G167" s="32"/>
    </row>
    <row r="168" spans="1:7" ht="12.75" hidden="1">
      <c r="A168" s="373"/>
      <c r="B168" s="360"/>
      <c r="C168" s="373" t="s">
        <v>491</v>
      </c>
      <c r="D168" s="362" t="s">
        <v>355</v>
      </c>
      <c r="E168" s="32"/>
      <c r="F168" s="32"/>
      <c r="G168" s="32"/>
    </row>
    <row r="169" spans="1:7" ht="12.75" hidden="1">
      <c r="A169" s="373"/>
      <c r="B169" s="360"/>
      <c r="C169" s="373" t="s">
        <v>492</v>
      </c>
      <c r="D169" s="362" t="s">
        <v>355</v>
      </c>
      <c r="E169" s="32"/>
      <c r="F169" s="32"/>
      <c r="G169" s="32"/>
    </row>
    <row r="170" spans="1:7" ht="12.75" hidden="1">
      <c r="A170" s="359"/>
      <c r="B170" s="360" t="s">
        <v>493</v>
      </c>
      <c r="C170" s="373"/>
      <c r="D170" s="362" t="s">
        <v>355</v>
      </c>
      <c r="E170" s="32"/>
      <c r="F170" s="32"/>
      <c r="G170" s="32"/>
    </row>
    <row r="171" spans="1:7" ht="12.75" hidden="1">
      <c r="A171" s="359"/>
      <c r="B171" s="373"/>
      <c r="C171" s="373" t="s">
        <v>494</v>
      </c>
      <c r="D171" s="362" t="s">
        <v>355</v>
      </c>
      <c r="E171" s="32"/>
      <c r="F171" s="32"/>
      <c r="G171" s="32"/>
    </row>
    <row r="172" spans="1:7" ht="12.75" hidden="1">
      <c r="A172" s="359"/>
      <c r="B172" s="373"/>
      <c r="C172" s="373" t="s">
        <v>495</v>
      </c>
      <c r="D172" s="362" t="s">
        <v>355</v>
      </c>
      <c r="E172" s="32"/>
      <c r="F172" s="32"/>
      <c r="G172" s="32"/>
    </row>
    <row r="173" spans="1:7" ht="12.75" hidden="1">
      <c r="A173" s="359"/>
      <c r="B173" s="373"/>
      <c r="C173" s="373" t="s">
        <v>496</v>
      </c>
      <c r="D173" s="362" t="s">
        <v>355</v>
      </c>
      <c r="E173" s="32"/>
      <c r="F173" s="32"/>
      <c r="G173" s="32"/>
    </row>
    <row r="174" spans="1:7" ht="12.75" hidden="1">
      <c r="A174" s="359"/>
      <c r="B174" s="366" t="s">
        <v>371</v>
      </c>
      <c r="C174" s="360"/>
      <c r="D174" s="361" t="s">
        <v>355</v>
      </c>
      <c r="E174" s="32"/>
      <c r="F174" s="32"/>
      <c r="G174" s="32"/>
    </row>
    <row r="175" spans="1:7" ht="12.75" hidden="1">
      <c r="A175" s="363" t="s">
        <v>97</v>
      </c>
      <c r="B175" s="356"/>
      <c r="C175" s="356"/>
      <c r="D175" s="378" t="s">
        <v>355</v>
      </c>
      <c r="E175" s="32"/>
      <c r="F175" s="32"/>
      <c r="G175" s="32"/>
    </row>
    <row r="176" spans="1:7" ht="12.75" hidden="1">
      <c r="A176" s="363"/>
      <c r="B176" s="356"/>
      <c r="C176" s="356"/>
      <c r="D176" s="379"/>
      <c r="E176" s="32"/>
      <c r="F176" s="32"/>
      <c r="G176" s="32"/>
    </row>
    <row r="177" spans="1:7" ht="12.75" hidden="1">
      <c r="A177" s="358" t="s">
        <v>372</v>
      </c>
      <c r="B177" s="356"/>
      <c r="C177" s="356"/>
      <c r="D177" s="362"/>
      <c r="E177" s="32"/>
      <c r="F177" s="32"/>
      <c r="G177" s="32"/>
    </row>
    <row r="178" spans="1:7" ht="12.75" hidden="1">
      <c r="A178" s="359"/>
      <c r="B178" s="360" t="s">
        <v>497</v>
      </c>
      <c r="C178" s="373"/>
      <c r="D178" s="362" t="s">
        <v>355</v>
      </c>
      <c r="E178" s="32"/>
      <c r="F178" s="32"/>
      <c r="G178" s="32"/>
    </row>
    <row r="179" spans="1:7" ht="12.75" hidden="1">
      <c r="A179" s="359"/>
      <c r="B179" s="360"/>
      <c r="C179" s="373" t="s">
        <v>498</v>
      </c>
      <c r="D179" s="362" t="s">
        <v>355</v>
      </c>
      <c r="E179" s="32"/>
      <c r="F179" s="32"/>
      <c r="G179" s="32"/>
    </row>
    <row r="180" spans="1:7" ht="12.75" hidden="1">
      <c r="A180" s="359"/>
      <c r="B180" s="377"/>
      <c r="C180" s="373" t="s">
        <v>499</v>
      </c>
      <c r="D180" s="362" t="s">
        <v>355</v>
      </c>
      <c r="E180" s="32"/>
      <c r="F180" s="32"/>
      <c r="G180" s="32"/>
    </row>
    <row r="181" spans="1:7" ht="12.75" hidden="1">
      <c r="A181" s="359"/>
      <c r="B181" s="377"/>
      <c r="C181" s="373" t="s">
        <v>500</v>
      </c>
      <c r="D181" s="362" t="s">
        <v>355</v>
      </c>
      <c r="E181" s="32"/>
      <c r="F181" s="32"/>
      <c r="G181" s="32"/>
    </row>
    <row r="182" spans="1:7" ht="12.75" hidden="1">
      <c r="A182" s="359"/>
      <c r="B182" s="377"/>
      <c r="C182" s="373" t="s">
        <v>501</v>
      </c>
      <c r="D182" s="362" t="s">
        <v>355</v>
      </c>
      <c r="E182" s="32"/>
      <c r="F182" s="32"/>
      <c r="G182" s="32"/>
    </row>
    <row r="183" spans="1:7" ht="12.75" hidden="1">
      <c r="A183" s="359"/>
      <c r="B183" s="377"/>
      <c r="C183" s="373" t="s">
        <v>502</v>
      </c>
      <c r="D183" s="362" t="s">
        <v>355</v>
      </c>
      <c r="E183" s="32"/>
      <c r="F183" s="32"/>
      <c r="G183" s="32"/>
    </row>
    <row r="184" spans="1:7" ht="12.75" hidden="1">
      <c r="A184" s="381"/>
      <c r="B184" s="370" t="s">
        <v>503</v>
      </c>
      <c r="C184" s="382"/>
      <c r="D184" s="371" t="s">
        <v>355</v>
      </c>
      <c r="E184" s="32"/>
      <c r="F184" s="32"/>
      <c r="G184" s="32"/>
    </row>
    <row r="185" spans="1:7" ht="12.75" hidden="1">
      <c r="A185" s="359"/>
      <c r="B185" s="360"/>
      <c r="C185" s="373" t="s">
        <v>504</v>
      </c>
      <c r="D185" s="362" t="s">
        <v>355</v>
      </c>
      <c r="E185" s="32"/>
      <c r="F185" s="32"/>
      <c r="G185" s="32"/>
    </row>
    <row r="186" spans="1:7" ht="12.75" hidden="1">
      <c r="A186" s="359"/>
      <c r="B186" s="360"/>
      <c r="C186" s="373" t="s">
        <v>505</v>
      </c>
      <c r="D186" s="362" t="s">
        <v>355</v>
      </c>
      <c r="E186" s="32"/>
      <c r="F186" s="32"/>
      <c r="G186" s="32"/>
    </row>
    <row r="187" spans="1:7" ht="12.75" hidden="1">
      <c r="A187" s="359"/>
      <c r="B187" s="360" t="s">
        <v>506</v>
      </c>
      <c r="C187" s="373"/>
      <c r="D187" s="362" t="s">
        <v>355</v>
      </c>
      <c r="E187" s="32"/>
      <c r="F187" s="32"/>
      <c r="G187" s="32"/>
    </row>
    <row r="188" spans="1:7" ht="12.75" hidden="1">
      <c r="A188" s="359"/>
      <c r="B188" s="366" t="s">
        <v>371</v>
      </c>
      <c r="C188" s="360"/>
      <c r="D188" s="361" t="s">
        <v>355</v>
      </c>
      <c r="E188" s="32"/>
      <c r="F188" s="32"/>
      <c r="G188" s="32"/>
    </row>
    <row r="189" spans="1:7" ht="12.75" hidden="1">
      <c r="A189" s="363" t="s">
        <v>99</v>
      </c>
      <c r="B189" s="356"/>
      <c r="C189" s="356"/>
      <c r="D189" s="378" t="s">
        <v>355</v>
      </c>
      <c r="E189" s="32"/>
      <c r="F189" s="32"/>
      <c r="G189" s="32"/>
    </row>
    <row r="190" spans="1:7" ht="12.75" hidden="1">
      <c r="A190" s="363"/>
      <c r="B190" s="356"/>
      <c r="C190" s="356"/>
      <c r="D190" s="379"/>
      <c r="E190" s="32"/>
      <c r="F190" s="32"/>
      <c r="G190" s="32"/>
    </row>
    <row r="191" spans="1:7" ht="12.75">
      <c r="A191" s="376" t="s">
        <v>507</v>
      </c>
      <c r="B191" s="356"/>
      <c r="C191" s="356"/>
      <c r="D191" s="361">
        <f>+D164</f>
        <v>0</v>
      </c>
      <c r="E191" s="32"/>
      <c r="F191" s="32"/>
      <c r="G191" s="32"/>
    </row>
    <row r="192" spans="1:7" ht="12.75">
      <c r="A192" s="376"/>
      <c r="B192" s="356"/>
      <c r="C192" s="356"/>
      <c r="D192" s="362"/>
      <c r="E192" s="32"/>
      <c r="F192" s="32"/>
      <c r="G192" s="32"/>
    </row>
    <row r="193" spans="1:7" ht="12.75">
      <c r="A193" s="356" t="s">
        <v>508</v>
      </c>
      <c r="B193" s="356"/>
      <c r="C193" s="356"/>
      <c r="D193" s="362">
        <f>+D92+D162+D191</f>
        <v>-9347144.830000013</v>
      </c>
      <c r="E193" s="32"/>
      <c r="F193" s="32"/>
      <c r="G193" s="32"/>
    </row>
    <row r="194" spans="1:7" ht="12.75">
      <c r="A194" s="356"/>
      <c r="B194" s="356"/>
      <c r="C194" s="356"/>
      <c r="D194" s="362"/>
      <c r="E194" s="32"/>
      <c r="F194" s="32"/>
      <c r="G194" s="32"/>
    </row>
    <row r="195" spans="1:7" ht="12.75" hidden="1">
      <c r="A195" s="357" t="s">
        <v>509</v>
      </c>
      <c r="B195" s="356"/>
      <c r="C195" s="356"/>
      <c r="D195" s="362" t="s">
        <v>355</v>
      </c>
      <c r="E195" s="32"/>
      <c r="F195" s="32"/>
      <c r="G195" s="32"/>
    </row>
    <row r="196" spans="1:7" ht="12.75" hidden="1">
      <c r="A196" s="357"/>
      <c r="B196" s="356"/>
      <c r="C196" s="356"/>
      <c r="D196" s="362"/>
      <c r="E196" s="32"/>
      <c r="F196" s="32"/>
      <c r="G196" s="32"/>
    </row>
    <row r="197" spans="1:7" ht="12.75">
      <c r="A197" s="356" t="s">
        <v>740</v>
      </c>
      <c r="B197" s="356"/>
      <c r="C197" s="356"/>
      <c r="D197" s="361">
        <v>13613846.48</v>
      </c>
      <c r="E197" s="32"/>
      <c r="F197" s="32"/>
      <c r="G197" s="32"/>
    </row>
    <row r="198" spans="1:7" ht="12.75">
      <c r="A198" s="373"/>
      <c r="B198" s="373"/>
      <c r="C198" s="373"/>
      <c r="D198" s="362"/>
      <c r="E198" s="32"/>
      <c r="F198" s="32"/>
      <c r="G198" s="32"/>
    </row>
    <row r="199" spans="1:7" ht="13.5" thickBot="1">
      <c r="A199" s="356" t="s">
        <v>741</v>
      </c>
      <c r="B199" s="356"/>
      <c r="C199" s="356"/>
      <c r="D199" s="383">
        <f>+D193+D197</f>
        <v>4266701.649999987</v>
      </c>
      <c r="E199" s="32">
        <f>'DetSFP-3rd Qtr'!F9</f>
        <v>24628196.85000001</v>
      </c>
      <c r="F199" s="32"/>
      <c r="G199" s="32"/>
    </row>
    <row r="200" spans="4:10" ht="13.5" thickTop="1">
      <c r="D200" s="32">
        <f>D199-'DetSFP 4th Qtr'!F9</f>
        <v>1.862645149230957E-08</v>
      </c>
      <c r="J200" s="89">
        <f>D199-'DetSFP 4th Qtr'!F9</f>
        <v>1.862645149230957E-08</v>
      </c>
    </row>
    <row r="203" spans="1:4" ht="12.75">
      <c r="A203" s="16" t="s">
        <v>25</v>
      </c>
      <c r="C203" s="1"/>
      <c r="D203" s="1" t="s">
        <v>55</v>
      </c>
    </row>
    <row r="204" spans="1:4" ht="12.75">
      <c r="A204" s="16"/>
      <c r="C204" s="99"/>
      <c r="D204" s="99"/>
    </row>
    <row r="205" spans="1:4" ht="12.75">
      <c r="A205" s="16"/>
      <c r="C205" s="100"/>
      <c r="D205" s="100"/>
    </row>
    <row r="206" spans="1:4" ht="12.75">
      <c r="A206" s="17" t="s">
        <v>658</v>
      </c>
      <c r="C206" s="20"/>
      <c r="D206" s="20" t="s">
        <v>815</v>
      </c>
    </row>
    <row r="207" spans="1:4" ht="12.75">
      <c r="A207" s="16" t="s">
        <v>662</v>
      </c>
      <c r="C207" s="1"/>
      <c r="D207" s="1" t="s">
        <v>224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34"/>
    </sheetView>
  </sheetViews>
  <sheetFormatPr defaultColWidth="9.140625" defaultRowHeight="12.75"/>
  <cols>
    <col min="1" max="1" width="24.57421875" style="0" customWidth="1"/>
    <col min="2" max="2" width="15.7109375" style="0" customWidth="1"/>
    <col min="3" max="3" width="17.28125" style="0" customWidth="1"/>
    <col min="4" max="4" width="15.140625" style="0" customWidth="1"/>
    <col min="5" max="5" width="16.8515625" style="0" customWidth="1"/>
  </cols>
  <sheetData>
    <row r="1" spans="1:5" ht="15">
      <c r="A1" s="590" t="s">
        <v>646</v>
      </c>
      <c r="B1" s="590"/>
      <c r="C1" s="590"/>
      <c r="D1" s="590"/>
      <c r="E1" s="590"/>
    </row>
    <row r="2" spans="1:5" ht="15">
      <c r="A2" s="590" t="s">
        <v>647</v>
      </c>
      <c r="B2" s="590"/>
      <c r="C2" s="590"/>
      <c r="D2" s="590"/>
      <c r="E2" s="590"/>
    </row>
    <row r="3" spans="1:5" ht="12.75">
      <c r="A3" s="454"/>
      <c r="B3" s="454"/>
      <c r="C3" s="454"/>
      <c r="D3" s="454"/>
      <c r="E3" s="454"/>
    </row>
    <row r="4" spans="1:5" ht="12.75">
      <c r="A4" s="591" t="s">
        <v>648</v>
      </c>
      <c r="B4" s="591"/>
      <c r="C4" s="591"/>
      <c r="D4" s="591"/>
      <c r="E4" s="591"/>
    </row>
    <row r="5" spans="1:5" ht="12.75">
      <c r="A5" s="592" t="s">
        <v>821</v>
      </c>
      <c r="B5" s="592"/>
      <c r="C5" s="592"/>
      <c r="D5" s="592"/>
      <c r="E5" s="592"/>
    </row>
    <row r="6" spans="1:5" ht="12.75">
      <c r="A6" s="592" t="s">
        <v>649</v>
      </c>
      <c r="B6" s="592"/>
      <c r="C6" s="592"/>
      <c r="D6" s="592"/>
      <c r="E6" s="592"/>
    </row>
    <row r="7" spans="1:5" ht="12.75">
      <c r="A7" s="454"/>
      <c r="B7" s="454"/>
      <c r="C7" s="454"/>
      <c r="D7" s="454"/>
      <c r="E7" s="454"/>
    </row>
    <row r="8" spans="1:5" ht="50.25" customHeight="1">
      <c r="A8" s="593" t="s">
        <v>650</v>
      </c>
      <c r="B8" s="594" t="s">
        <v>651</v>
      </c>
      <c r="C8" s="594"/>
      <c r="D8" s="593" t="s">
        <v>609</v>
      </c>
      <c r="E8" s="593" t="s">
        <v>652</v>
      </c>
    </row>
    <row r="9" spans="1:5" ht="12.75">
      <c r="A9" s="593"/>
      <c r="B9" s="461" t="s">
        <v>611</v>
      </c>
      <c r="C9" s="461" t="s">
        <v>612</v>
      </c>
      <c r="D9" s="593"/>
      <c r="E9" s="593"/>
    </row>
    <row r="10" spans="1:5" ht="12.75">
      <c r="A10" s="455" t="s">
        <v>613</v>
      </c>
      <c r="B10" s="454"/>
      <c r="C10" s="454"/>
      <c r="D10" s="454"/>
      <c r="E10" s="454"/>
    </row>
    <row r="11" spans="1:5" ht="12.75">
      <c r="A11" s="456" t="s">
        <v>672</v>
      </c>
      <c r="B11" s="454"/>
      <c r="C11" s="454"/>
      <c r="D11" s="454"/>
      <c r="E11" s="454"/>
    </row>
    <row r="12" spans="1:5" ht="12.75">
      <c r="A12" s="456" t="s">
        <v>673</v>
      </c>
      <c r="B12" s="457">
        <v>122573301.7</v>
      </c>
      <c r="C12" s="457">
        <f>'DetSFPerf-4th Qtr'!C158</f>
        <v>122573301.69999999</v>
      </c>
      <c r="D12" s="457">
        <v>122573301.7</v>
      </c>
      <c r="E12" s="454"/>
    </row>
    <row r="13" spans="1:5" ht="25.5">
      <c r="A13" s="456" t="s">
        <v>142</v>
      </c>
      <c r="B13" s="462">
        <v>125344000</v>
      </c>
      <c r="C13" s="462">
        <f>'DetSFPerf-4th Qtr'!C159</f>
        <v>114924393.25999999</v>
      </c>
      <c r="D13" s="462">
        <v>114924393.26</v>
      </c>
      <c r="E13" s="463" t="s">
        <v>674</v>
      </c>
    </row>
    <row r="14" spans="1:5" ht="12.75">
      <c r="A14" s="454"/>
      <c r="B14" s="457">
        <f>B12+B13</f>
        <v>247917301.7</v>
      </c>
      <c r="C14" s="457">
        <f>C12+C13</f>
        <v>237497694.95999998</v>
      </c>
      <c r="D14" s="457">
        <f>D12+D13</f>
        <v>237497694.96</v>
      </c>
      <c r="E14" s="458" t="s">
        <v>674</v>
      </c>
    </row>
    <row r="15" spans="1:5" ht="12.75">
      <c r="A15" s="454"/>
      <c r="B15" s="454"/>
      <c r="C15" s="454"/>
      <c r="D15" s="454"/>
      <c r="E15" s="454"/>
    </row>
    <row r="16" spans="1:5" ht="12.75">
      <c r="A16" s="455" t="s">
        <v>618</v>
      </c>
      <c r="B16" s="454"/>
      <c r="C16" s="454"/>
      <c r="D16" s="454"/>
      <c r="E16" s="454"/>
    </row>
    <row r="17" spans="1:5" ht="12.75">
      <c r="A17" s="456" t="s">
        <v>250</v>
      </c>
      <c r="B17" s="457">
        <v>45853000</v>
      </c>
      <c r="C17" s="457">
        <f>ConSFPerf!C12</f>
        <v>22365510.949999996</v>
      </c>
      <c r="D17" s="457">
        <v>22365510.95</v>
      </c>
      <c r="E17" s="458" t="s">
        <v>674</v>
      </c>
    </row>
    <row r="18" spans="1:5" ht="25.5">
      <c r="A18" s="456" t="s">
        <v>675</v>
      </c>
      <c r="B18" s="457">
        <v>79491000</v>
      </c>
      <c r="C18" s="457">
        <f>ConSFPerf!C13</f>
        <v>205625048.88</v>
      </c>
      <c r="D18" s="457">
        <v>205625048.88</v>
      </c>
      <c r="E18" s="458" t="s">
        <v>674</v>
      </c>
    </row>
    <row r="19" spans="1:5" ht="12.75">
      <c r="A19" s="456" t="s">
        <v>676</v>
      </c>
      <c r="B19" s="457">
        <v>0</v>
      </c>
      <c r="C19" s="457">
        <v>0</v>
      </c>
      <c r="D19" s="457">
        <v>0</v>
      </c>
      <c r="E19" s="454"/>
    </row>
    <row r="20" spans="1:5" ht="25.5">
      <c r="A20" s="456" t="s">
        <v>677</v>
      </c>
      <c r="B20" s="454"/>
      <c r="C20" s="535">
        <v>21907026.35</v>
      </c>
      <c r="D20" s="288">
        <v>21907026.35</v>
      </c>
      <c r="E20" s="454"/>
    </row>
    <row r="21" spans="1:5" ht="12.75">
      <c r="A21" s="454"/>
      <c r="B21" s="464"/>
      <c r="C21" s="464"/>
      <c r="D21" s="464"/>
      <c r="E21" s="464"/>
    </row>
    <row r="22" spans="1:5" ht="12.75">
      <c r="A22" s="454"/>
      <c r="B22" s="465">
        <f>B17+B18+B19+B20</f>
        <v>125344000</v>
      </c>
      <c r="C22" s="465">
        <f>C17+C18+C19+C20</f>
        <v>249897586.17999998</v>
      </c>
      <c r="D22" s="465">
        <f>D17+D18+D19+D20</f>
        <v>249897586.17999998</v>
      </c>
      <c r="E22" s="466"/>
    </row>
    <row r="23" spans="1:5" ht="12.75">
      <c r="A23" s="454"/>
      <c r="B23" s="457">
        <f>B22</f>
        <v>125344000</v>
      </c>
      <c r="C23" s="457">
        <f>C22</f>
        <v>249897586.17999998</v>
      </c>
      <c r="D23" s="457">
        <f>D22</f>
        <v>249897586.17999998</v>
      </c>
      <c r="E23" s="458" t="s">
        <v>674</v>
      </c>
    </row>
    <row r="24" spans="1:5" ht="12.75">
      <c r="A24" s="454"/>
      <c r="B24" s="454"/>
      <c r="C24" s="454"/>
      <c r="D24" s="454"/>
      <c r="E24" s="454"/>
    </row>
    <row r="25" spans="1:5" ht="12.75">
      <c r="A25" s="455" t="s">
        <v>623</v>
      </c>
      <c r="B25" s="462">
        <f>B14-B22</f>
        <v>122573301.69999999</v>
      </c>
      <c r="C25" s="462">
        <f>C14-C22</f>
        <v>-12399891.219999999</v>
      </c>
      <c r="D25" s="462">
        <f>D14-D22</f>
        <v>-12399891.219999969</v>
      </c>
      <c r="E25" s="467" t="s">
        <v>674</v>
      </c>
    </row>
    <row r="26" spans="1:5" ht="12.75">
      <c r="A26" s="454"/>
      <c r="B26" s="454"/>
      <c r="C26" s="454"/>
      <c r="D26" s="454"/>
      <c r="E26" s="454"/>
    </row>
    <row r="27" spans="1:5" ht="12.75">
      <c r="A27" s="454"/>
      <c r="B27" s="454"/>
      <c r="C27" s="454"/>
      <c r="D27" s="454"/>
      <c r="E27" s="454"/>
    </row>
    <row r="28" spans="1:5" ht="12.75">
      <c r="A28" s="454"/>
      <c r="B28" s="454"/>
      <c r="C28" s="454"/>
      <c r="D28" s="454"/>
      <c r="E28" s="454"/>
    </row>
    <row r="29" spans="1:5" ht="12.75">
      <c r="A29" s="454"/>
      <c r="B29" s="454"/>
      <c r="C29" s="454"/>
      <c r="D29" s="454"/>
      <c r="E29" s="454"/>
    </row>
    <row r="30" spans="1:5" ht="12.75">
      <c r="A30" s="456" t="s">
        <v>25</v>
      </c>
      <c r="B30" s="454"/>
      <c r="C30" s="456" t="s">
        <v>55</v>
      </c>
      <c r="D30" s="454"/>
      <c r="E30" s="454"/>
    </row>
    <row r="31" spans="1:5" ht="12.75">
      <c r="A31" s="454"/>
      <c r="B31" s="454"/>
      <c r="C31" s="454"/>
      <c r="D31" s="454"/>
      <c r="E31" s="454"/>
    </row>
    <row r="32" spans="1:5" ht="12.75">
      <c r="A32" s="454"/>
      <c r="B32" s="454"/>
      <c r="C32" s="454"/>
      <c r="D32" s="454"/>
      <c r="E32" s="454"/>
    </row>
    <row r="33" spans="1:5" ht="12.75" customHeight="1">
      <c r="A33" s="459" t="s">
        <v>658</v>
      </c>
      <c r="B33" s="454"/>
      <c r="C33" s="20" t="s">
        <v>815</v>
      </c>
      <c r="D33" s="20"/>
      <c r="E33" s="454"/>
    </row>
    <row r="34" spans="1:5" ht="12.75">
      <c r="A34" s="456" t="s">
        <v>662</v>
      </c>
      <c r="B34" s="454"/>
      <c r="C34" s="1" t="s">
        <v>224</v>
      </c>
      <c r="D34" s="1"/>
      <c r="E34" s="454"/>
    </row>
    <row r="35" spans="1:5" ht="12.75">
      <c r="A35" s="460"/>
      <c r="B35" s="460"/>
      <c r="C35" s="460"/>
      <c r="D35" s="460"/>
      <c r="E35" s="460"/>
    </row>
    <row r="36" spans="1:5" ht="12.75">
      <c r="A36" s="460"/>
      <c r="B36" s="460"/>
      <c r="C36" s="460"/>
      <c r="D36" s="460"/>
      <c r="E36" s="460"/>
    </row>
    <row r="37" spans="1:5" ht="12.75">
      <c r="A37" s="460"/>
      <c r="B37" s="460"/>
      <c r="C37" s="460"/>
      <c r="D37" s="460"/>
      <c r="E37" s="460"/>
    </row>
  </sheetData>
  <sheetProtection/>
  <mergeCells count="9">
    <mergeCell ref="A1:E1"/>
    <mergeCell ref="A2:E2"/>
    <mergeCell ref="A4:E4"/>
    <mergeCell ref="A5:E5"/>
    <mergeCell ref="A6:E6"/>
    <mergeCell ref="A8:A9"/>
    <mergeCell ref="B8:C8"/>
    <mergeCell ref="D8:D9"/>
    <mergeCell ref="E8:E9"/>
  </mergeCells>
  <printOptions/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I33" sqref="I33"/>
    </sheetView>
  </sheetViews>
  <sheetFormatPr defaultColWidth="9.57421875" defaultRowHeight="12.75"/>
  <cols>
    <col min="1" max="1" width="37.28125" style="353" customWidth="1"/>
    <col min="2" max="14" width="15.00390625" style="353" customWidth="1"/>
    <col min="15" max="15" width="15.140625" style="353" customWidth="1"/>
    <col min="16" max="22" width="15.57421875" style="353" customWidth="1"/>
    <col min="23" max="23" width="14.00390625" style="353" customWidth="1"/>
    <col min="24" max="16384" width="9.57421875" style="353" customWidth="1"/>
  </cols>
  <sheetData>
    <row r="1" spans="1:23" ht="15">
      <c r="A1" s="595" t="s">
        <v>646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</row>
    <row r="2" spans="1:23" ht="15">
      <c r="A2" s="595" t="s">
        <v>647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</row>
    <row r="3" spans="1:23" ht="15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</row>
    <row r="4" spans="1:23" ht="14.25">
      <c r="A4" s="596" t="s">
        <v>648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</row>
    <row r="5" spans="1:23" ht="14.25">
      <c r="A5" s="597" t="s">
        <v>665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</row>
    <row r="6" spans="1:23" ht="14.25">
      <c r="A6" s="597" t="s">
        <v>649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</row>
    <row r="7" spans="1:23" ht="15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</row>
    <row r="8" spans="1:23" ht="13.5" customHeight="1">
      <c r="A8" s="598" t="s">
        <v>650</v>
      </c>
      <c r="B8" s="598" t="s">
        <v>651</v>
      </c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604" t="s">
        <v>609</v>
      </c>
      <c r="Q8" s="604"/>
      <c r="R8" s="604"/>
      <c r="S8" s="604"/>
      <c r="T8" s="604"/>
      <c r="U8" s="604"/>
      <c r="V8" s="605"/>
      <c r="W8" s="599" t="s">
        <v>652</v>
      </c>
    </row>
    <row r="9" spans="1:23" ht="14.25">
      <c r="A9" s="598"/>
      <c r="B9" s="600" t="s">
        <v>611</v>
      </c>
      <c r="C9" s="601"/>
      <c r="D9" s="601"/>
      <c r="E9" s="601"/>
      <c r="F9" s="601"/>
      <c r="G9" s="601"/>
      <c r="H9" s="602"/>
      <c r="I9" s="600" t="s">
        <v>612</v>
      </c>
      <c r="J9" s="601"/>
      <c r="K9" s="601"/>
      <c r="L9" s="601"/>
      <c r="M9" s="601"/>
      <c r="N9" s="601"/>
      <c r="O9" s="603"/>
      <c r="P9" s="606"/>
      <c r="Q9" s="606"/>
      <c r="R9" s="606"/>
      <c r="S9" s="606"/>
      <c r="T9" s="606"/>
      <c r="U9" s="606"/>
      <c r="V9" s="607"/>
      <c r="W9" s="599"/>
    </row>
    <row r="10" spans="1:23" ht="20.25" customHeight="1">
      <c r="A10" s="598"/>
      <c r="B10" s="385" t="s">
        <v>666</v>
      </c>
      <c r="C10" s="386" t="s">
        <v>667</v>
      </c>
      <c r="D10" s="386" t="s">
        <v>668</v>
      </c>
      <c r="E10" s="386" t="s">
        <v>669</v>
      </c>
      <c r="F10" s="386" t="s">
        <v>670</v>
      </c>
      <c r="G10" s="386" t="s">
        <v>671</v>
      </c>
      <c r="H10" s="386" t="s">
        <v>24</v>
      </c>
      <c r="I10" s="385" t="s">
        <v>666</v>
      </c>
      <c r="J10" s="386" t="s">
        <v>667</v>
      </c>
      <c r="K10" s="386" t="s">
        <v>668</v>
      </c>
      <c r="L10" s="386" t="s">
        <v>669</v>
      </c>
      <c r="M10" s="386" t="s">
        <v>670</v>
      </c>
      <c r="N10" s="386" t="s">
        <v>671</v>
      </c>
      <c r="O10" s="386" t="s">
        <v>24</v>
      </c>
      <c r="P10" s="385" t="s">
        <v>666</v>
      </c>
      <c r="Q10" s="386" t="s">
        <v>667</v>
      </c>
      <c r="R10" s="386" t="s">
        <v>668</v>
      </c>
      <c r="S10" s="386" t="s">
        <v>669</v>
      </c>
      <c r="T10" s="386" t="s">
        <v>670</v>
      </c>
      <c r="U10" s="386" t="s">
        <v>671</v>
      </c>
      <c r="V10" s="386" t="s">
        <v>24</v>
      </c>
      <c r="W10" s="599"/>
    </row>
    <row r="11" spans="1:23" ht="15">
      <c r="A11" s="387" t="s">
        <v>613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</row>
    <row r="12" spans="1:23" ht="15">
      <c r="A12" s="388" t="s">
        <v>653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</row>
    <row r="13" spans="1:23" ht="15">
      <c r="A13" s="388" t="s">
        <v>659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84"/>
    </row>
    <row r="14" spans="1:23" ht="14.25">
      <c r="A14" s="388" t="s">
        <v>654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90">
        <f>O14-P14</f>
        <v>0</v>
      </c>
    </row>
    <row r="15" spans="1:23" ht="15">
      <c r="A15" s="384"/>
      <c r="B15" s="391">
        <f>SUM(B13:B14)</f>
        <v>0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>
        <f>SUM(O13:O14)</f>
        <v>0</v>
      </c>
      <c r="P15" s="391">
        <f>SUM(P13:P14)</f>
        <v>0</v>
      </c>
      <c r="Q15" s="391"/>
      <c r="R15" s="391"/>
      <c r="S15" s="391"/>
      <c r="T15" s="391"/>
      <c r="U15" s="391"/>
      <c r="V15" s="391"/>
      <c r="W15" s="392">
        <f>W14</f>
        <v>0</v>
      </c>
    </row>
    <row r="16" spans="1:23" ht="15">
      <c r="A16" s="384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4"/>
    </row>
    <row r="17" spans="1:23" ht="14.25">
      <c r="A17" s="387" t="s">
        <v>618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4"/>
    </row>
    <row r="18" spans="1:23" ht="14.25">
      <c r="A18" s="388" t="s">
        <v>655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4">
        <f>O18-P18</f>
        <v>0</v>
      </c>
    </row>
    <row r="19" spans="1:23" ht="14.25">
      <c r="A19" s="388" t="s">
        <v>656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6">
        <f>O19-P19</f>
        <v>0</v>
      </c>
    </row>
    <row r="20" spans="1:23" ht="14.25">
      <c r="A20" s="388" t="s">
        <v>660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6"/>
    </row>
    <row r="21" spans="1:23" ht="14.25">
      <c r="A21" s="388" t="s">
        <v>657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6"/>
    </row>
    <row r="22" spans="1:23" ht="14.25">
      <c r="A22" s="388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90"/>
    </row>
    <row r="23" spans="1:23" ht="14.25">
      <c r="A23" s="388"/>
      <c r="B23" s="389">
        <f>SUM(B18:B22)</f>
        <v>0</v>
      </c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>
        <f>SUM(O18:O22)</f>
        <v>0</v>
      </c>
      <c r="P23" s="389">
        <f>SUM(P18:P22)</f>
        <v>0</v>
      </c>
      <c r="Q23" s="389"/>
      <c r="R23" s="389"/>
      <c r="S23" s="389"/>
      <c r="T23" s="389"/>
      <c r="U23" s="389"/>
      <c r="V23" s="389"/>
      <c r="W23" s="390"/>
    </row>
    <row r="24" spans="1:23" ht="15">
      <c r="A24" s="384"/>
      <c r="B24" s="391">
        <f>B23</f>
        <v>0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>
        <f>O23</f>
        <v>0</v>
      </c>
      <c r="P24" s="391">
        <f>P23</f>
        <v>0</v>
      </c>
      <c r="Q24" s="391"/>
      <c r="R24" s="391"/>
      <c r="S24" s="391"/>
      <c r="T24" s="391"/>
      <c r="U24" s="391"/>
      <c r="V24" s="391"/>
      <c r="W24" s="392">
        <f>W23</f>
        <v>0</v>
      </c>
    </row>
    <row r="25" spans="1:23" ht="15">
      <c r="A25" s="384"/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4"/>
    </row>
    <row r="26" spans="1:23" ht="14.25">
      <c r="A26" s="387" t="s">
        <v>623</v>
      </c>
      <c r="B26" s="389">
        <f>B15-B24</f>
        <v>0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>
        <f>O15-O24</f>
        <v>0</v>
      </c>
      <c r="P26" s="389">
        <f>P15-P24</f>
        <v>0</v>
      </c>
      <c r="Q26" s="389"/>
      <c r="R26" s="389"/>
      <c r="S26" s="389"/>
      <c r="T26" s="389"/>
      <c r="U26" s="389"/>
      <c r="V26" s="389"/>
      <c r="W26" s="397">
        <f>W15-W24</f>
        <v>0</v>
      </c>
    </row>
    <row r="27" spans="1:23" ht="15">
      <c r="A27" s="384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</row>
    <row r="28" spans="2:23" ht="14.25"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</row>
    <row r="29" spans="2:23" ht="14.25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</row>
    <row r="30" spans="2:23" ht="14.25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</row>
    <row r="31" spans="1:23" ht="14.25">
      <c r="A31" s="16" t="s">
        <v>25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1" t="s">
        <v>55</v>
      </c>
      <c r="P31" s="354"/>
      <c r="Q31" s="354"/>
      <c r="R31" s="354"/>
      <c r="S31" s="354"/>
      <c r="T31" s="354"/>
      <c r="U31" s="354"/>
      <c r="V31" s="354"/>
      <c r="W31" s="354"/>
    </row>
    <row r="32" spans="1:23" ht="14.25">
      <c r="A32" s="16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99"/>
      <c r="P32" s="354"/>
      <c r="Q32" s="354"/>
      <c r="R32" s="354"/>
      <c r="S32" s="354"/>
      <c r="T32" s="354"/>
      <c r="U32" s="354"/>
      <c r="V32" s="354"/>
      <c r="W32" s="354"/>
    </row>
    <row r="33" spans="1:23" ht="14.25">
      <c r="A33" s="16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100"/>
      <c r="P33" s="354"/>
      <c r="Q33" s="354"/>
      <c r="R33" s="354"/>
      <c r="S33" s="354"/>
      <c r="T33" s="354"/>
      <c r="U33" s="354"/>
      <c r="V33" s="354"/>
      <c r="W33" s="354"/>
    </row>
    <row r="34" spans="1:23" ht="14.25">
      <c r="A34" s="17" t="s">
        <v>658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20" t="s">
        <v>661</v>
      </c>
      <c r="P34" s="355"/>
      <c r="Q34" s="355"/>
      <c r="R34" s="355"/>
      <c r="S34" s="355"/>
      <c r="T34" s="355"/>
      <c r="U34" s="355"/>
      <c r="V34" s="355"/>
      <c r="W34" s="354"/>
    </row>
    <row r="35" spans="1:15" ht="14.25">
      <c r="A35" s="16" t="s">
        <v>662</v>
      </c>
      <c r="O35" s="1" t="s">
        <v>224</v>
      </c>
    </row>
  </sheetData>
  <sheetProtection/>
  <mergeCells count="11">
    <mergeCell ref="P8:V9"/>
    <mergeCell ref="A1:W1"/>
    <mergeCell ref="A2:W2"/>
    <mergeCell ref="A4:W4"/>
    <mergeCell ref="A5:W5"/>
    <mergeCell ref="A6:W6"/>
    <mergeCell ref="A8:A10"/>
    <mergeCell ref="B8:O8"/>
    <mergeCell ref="W8:W10"/>
    <mergeCell ref="B9:H9"/>
    <mergeCell ref="I9:O9"/>
  </mergeCells>
  <printOptions/>
  <pageMargins left="0.7" right="0.7" top="1.04527559055118" bottom="1.04527559055118" header="0.75" footer="0.75"/>
  <pageSetup fitToHeight="0" fitToWidth="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Q163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4" width="17.7109375" style="30" customWidth="1"/>
    <col min="5" max="12" width="17.7109375" style="30" hidden="1" customWidth="1"/>
    <col min="13" max="13" width="18.8515625" style="30" customWidth="1"/>
    <col min="14" max="14" width="18.71093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3:16" ht="12.75">
      <c r="C1" s="103"/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40" t="s">
        <v>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</row>
    <row r="3" spans="1:16" ht="12.75">
      <c r="A3" s="536" t="s">
        <v>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ht="12.75" customHeight="1"/>
    <row r="5" spans="1:16" ht="15.75">
      <c r="A5" s="540" t="s">
        <v>44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</row>
    <row r="6" spans="1:16" ht="12.75">
      <c r="A6" s="536" t="s">
        <v>748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2.75">
      <c r="A7" s="536" t="s">
        <v>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12.75">
      <c r="A8" s="536" t="s">
        <v>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</row>
    <row r="9" spans="1:16" ht="13.5" thickBo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6" ht="15.75">
      <c r="A10" s="34"/>
      <c r="B10" s="35" t="s">
        <v>4</v>
      </c>
      <c r="C10" s="538" t="s">
        <v>704</v>
      </c>
      <c r="D10" s="539"/>
      <c r="E10" s="537" t="s">
        <v>49</v>
      </c>
      <c r="F10" s="537"/>
      <c r="G10" s="538" t="s">
        <v>54</v>
      </c>
      <c r="H10" s="539"/>
      <c r="I10" s="537" t="s">
        <v>48</v>
      </c>
      <c r="J10" s="537"/>
      <c r="K10" s="538" t="s">
        <v>57</v>
      </c>
      <c r="L10" s="539"/>
      <c r="M10" s="538" t="s">
        <v>50</v>
      </c>
      <c r="N10" s="537"/>
      <c r="O10" s="547" t="s">
        <v>7</v>
      </c>
      <c r="P10" s="549" t="s">
        <v>8</v>
      </c>
    </row>
    <row r="11" spans="1:16" ht="15.75">
      <c r="A11" s="36" t="s">
        <v>5</v>
      </c>
      <c r="B11" s="37" t="s">
        <v>6</v>
      </c>
      <c r="C11" s="36" t="s">
        <v>7</v>
      </c>
      <c r="D11" s="38" t="s">
        <v>8</v>
      </c>
      <c r="E11" s="39" t="s">
        <v>7</v>
      </c>
      <c r="F11" s="37" t="s">
        <v>8</v>
      </c>
      <c r="G11" s="36" t="s">
        <v>7</v>
      </c>
      <c r="H11" s="38" t="s">
        <v>8</v>
      </c>
      <c r="I11" s="39" t="s">
        <v>7</v>
      </c>
      <c r="J11" s="37" t="s">
        <v>8</v>
      </c>
      <c r="K11" s="36" t="s">
        <v>7</v>
      </c>
      <c r="L11" s="38" t="s">
        <v>8</v>
      </c>
      <c r="M11" s="36" t="s">
        <v>7</v>
      </c>
      <c r="N11" s="37" t="s">
        <v>8</v>
      </c>
      <c r="O11" s="548"/>
      <c r="P11" s="550"/>
    </row>
    <row r="12" spans="1:16" ht="13.5" customHeight="1">
      <c r="A12" s="40"/>
      <c r="B12" s="41"/>
      <c r="C12" s="40"/>
      <c r="D12" s="42"/>
      <c r="E12" s="271"/>
      <c r="F12" s="41"/>
      <c r="G12" s="40"/>
      <c r="H12" s="42"/>
      <c r="I12" s="271"/>
      <c r="J12" s="41"/>
      <c r="K12" s="40"/>
      <c r="L12" s="42"/>
      <c r="M12" s="40"/>
      <c r="N12" s="42"/>
      <c r="O12" s="40"/>
      <c r="P12" s="42"/>
    </row>
    <row r="13" spans="1:16" ht="12.75" customHeight="1">
      <c r="A13" s="4" t="s">
        <v>9</v>
      </c>
      <c r="B13" s="15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5"/>
      <c r="O13" s="23"/>
      <c r="P13" s="45"/>
    </row>
    <row r="14" spans="1:16" ht="12.75">
      <c r="A14" s="102" t="s">
        <v>678</v>
      </c>
      <c r="B14" s="506" t="s">
        <v>679</v>
      </c>
      <c r="C14" s="18">
        <f>Mar20!O14</f>
        <v>0</v>
      </c>
      <c r="D14" s="10">
        <f>Mar20!P14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8"/>
      <c r="O14" s="121">
        <f aca="true" t="shared" si="0" ref="O14:O89">C14+E14+I14+M14-D14-F14-J14-N14+G14-H14+K14-L14</f>
        <v>0</v>
      </c>
      <c r="P14" s="22"/>
    </row>
    <row r="15" spans="1:16" ht="12.75">
      <c r="A15" s="49" t="s">
        <v>101</v>
      </c>
      <c r="B15" s="506" t="s">
        <v>100</v>
      </c>
      <c r="C15" s="18">
        <f>Mar20!O15</f>
        <v>35000</v>
      </c>
      <c r="D15" s="22">
        <f>Mar20!P15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8"/>
      <c r="O15" s="121">
        <f t="shared" si="0"/>
        <v>35000</v>
      </c>
      <c r="P15" s="22"/>
    </row>
    <row r="16" spans="1:16" s="29" customFormat="1" ht="12.75">
      <c r="A16" s="49" t="s">
        <v>589</v>
      </c>
      <c r="B16" s="506" t="s">
        <v>230</v>
      </c>
      <c r="C16" s="18">
        <f>Mar20!O16</f>
        <v>333912.42</v>
      </c>
      <c r="D16" s="97">
        <f>Mar20!P16</f>
        <v>0</v>
      </c>
      <c r="E16" s="6"/>
      <c r="F16" s="47"/>
      <c r="G16" s="13"/>
      <c r="H16" s="46"/>
      <c r="I16" s="6"/>
      <c r="J16" s="47"/>
      <c r="K16" s="14"/>
      <c r="L16" s="46"/>
      <c r="M16" s="13"/>
      <c r="N16" s="48"/>
      <c r="O16" s="121">
        <f t="shared" si="0"/>
        <v>333912.42</v>
      </c>
      <c r="P16" s="22"/>
    </row>
    <row r="17" spans="1:16" s="29" customFormat="1" ht="12.75">
      <c r="A17" s="49" t="s">
        <v>636</v>
      </c>
      <c r="B17" s="506" t="s">
        <v>590</v>
      </c>
      <c r="C17" s="18">
        <f>Mar20!O17</f>
        <v>0</v>
      </c>
      <c r="D17" s="10">
        <f>Mar20!P17</f>
        <v>0</v>
      </c>
      <c r="E17" s="9"/>
      <c r="F17" s="11"/>
      <c r="G17" s="14"/>
      <c r="H17" s="46"/>
      <c r="I17" s="9"/>
      <c r="J17" s="47"/>
      <c r="K17" s="14"/>
      <c r="L17" s="51"/>
      <c r="M17" s="14"/>
      <c r="N17" s="50"/>
      <c r="O17" s="121">
        <f t="shared" si="0"/>
        <v>0</v>
      </c>
      <c r="P17" s="22"/>
    </row>
    <row r="18" spans="1:16" s="29" customFormat="1" ht="12.75">
      <c r="A18" s="49" t="s">
        <v>103</v>
      </c>
      <c r="B18" s="506" t="s">
        <v>102</v>
      </c>
      <c r="C18" s="18">
        <f>Mar20!O18</f>
        <v>34199.99999999255</v>
      </c>
      <c r="D18" s="22">
        <f>Mar20!P18</f>
        <v>0</v>
      </c>
      <c r="E18" s="9"/>
      <c r="F18" s="51"/>
      <c r="G18" s="14"/>
      <c r="H18" s="46"/>
      <c r="I18" s="9"/>
      <c r="J18" s="51"/>
      <c r="K18" s="14"/>
      <c r="L18" s="51"/>
      <c r="M18" s="14"/>
      <c r="N18" s="50"/>
      <c r="O18" s="121">
        <f t="shared" si="0"/>
        <v>34199.99999999255</v>
      </c>
      <c r="P18" s="22"/>
    </row>
    <row r="19" spans="1:16" s="29" customFormat="1" ht="12.75">
      <c r="A19" s="49" t="s">
        <v>10</v>
      </c>
      <c r="B19" s="506" t="s">
        <v>104</v>
      </c>
      <c r="C19" s="18">
        <f>Mar20!O19</f>
        <v>12517612.65</v>
      </c>
      <c r="D19" s="97">
        <f>Mar20!P19</f>
        <v>0</v>
      </c>
      <c r="E19" s="9"/>
      <c r="F19" s="51"/>
      <c r="G19" s="14"/>
      <c r="H19" s="46"/>
      <c r="I19" s="9"/>
      <c r="J19" s="51"/>
      <c r="K19" s="14"/>
      <c r="L19" s="10"/>
      <c r="M19" s="14"/>
      <c r="N19" s="50"/>
      <c r="O19" s="121">
        <f t="shared" si="0"/>
        <v>12517612.65</v>
      </c>
      <c r="P19" s="22"/>
    </row>
    <row r="20" spans="1:16" s="29" customFormat="1" ht="12.75">
      <c r="A20" s="49" t="s">
        <v>567</v>
      </c>
      <c r="B20" s="506" t="s">
        <v>568</v>
      </c>
      <c r="C20" s="18">
        <f>Mar20!O20</f>
        <v>21915058.29</v>
      </c>
      <c r="D20" s="10">
        <f>Mar20!P20</f>
        <v>0</v>
      </c>
      <c r="E20" s="9"/>
      <c r="F20" s="51"/>
      <c r="G20" s="14"/>
      <c r="H20" s="46"/>
      <c r="I20" s="9"/>
      <c r="J20" s="51"/>
      <c r="K20" s="14"/>
      <c r="L20" s="10"/>
      <c r="M20" s="14"/>
      <c r="N20" s="50"/>
      <c r="O20" s="121">
        <f t="shared" si="0"/>
        <v>21915058.29</v>
      </c>
      <c r="P20" s="22"/>
    </row>
    <row r="21" spans="1:16" s="29" customFormat="1" ht="12.75">
      <c r="A21" s="49" t="s">
        <v>734</v>
      </c>
      <c r="B21" s="506" t="s">
        <v>735</v>
      </c>
      <c r="C21" s="18">
        <f>Mar20!O21</f>
        <v>497000</v>
      </c>
      <c r="D21" s="22">
        <f>Mar20!P21</f>
        <v>0</v>
      </c>
      <c r="E21" s="9"/>
      <c r="F21" s="52"/>
      <c r="G21" s="14"/>
      <c r="H21" s="53"/>
      <c r="I21" s="9"/>
      <c r="J21" s="52"/>
      <c r="K21" s="14"/>
      <c r="L21" s="53"/>
      <c r="M21" s="14"/>
      <c r="N21" s="12"/>
      <c r="O21" s="121">
        <f t="shared" si="0"/>
        <v>497000</v>
      </c>
      <c r="P21" s="22"/>
    </row>
    <row r="22" spans="1:16" s="29" customFormat="1" ht="12.75">
      <c r="A22" s="49" t="s">
        <v>11</v>
      </c>
      <c r="B22" s="506" t="s">
        <v>105</v>
      </c>
      <c r="C22" s="18">
        <f>Mar20!O22</f>
        <v>46662.22</v>
      </c>
      <c r="D22" s="97">
        <f>Mar20!P22</f>
        <v>0</v>
      </c>
      <c r="E22" s="9"/>
      <c r="F22" s="52"/>
      <c r="G22" s="14"/>
      <c r="H22" s="53"/>
      <c r="I22" s="9"/>
      <c r="J22" s="52"/>
      <c r="K22" s="14"/>
      <c r="L22" s="53"/>
      <c r="M22" s="14"/>
      <c r="N22" s="12"/>
      <c r="O22" s="121">
        <f t="shared" si="0"/>
        <v>46662.22</v>
      </c>
      <c r="P22" s="122"/>
    </row>
    <row r="23" spans="1:16" s="29" customFormat="1" ht="12.75">
      <c r="A23" s="74" t="s">
        <v>108</v>
      </c>
      <c r="B23" s="507" t="s">
        <v>106</v>
      </c>
      <c r="C23" s="18">
        <f>Mar20!O23</f>
        <v>0</v>
      </c>
      <c r="D23" s="10">
        <f>Mar20!P23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12"/>
      <c r="O23" s="121">
        <f t="shared" si="0"/>
        <v>0</v>
      </c>
      <c r="P23" s="122"/>
    </row>
    <row r="24" spans="1:16" s="29" customFormat="1" ht="12.75">
      <c r="A24" s="49" t="s">
        <v>109</v>
      </c>
      <c r="B24" s="506" t="s">
        <v>107</v>
      </c>
      <c r="C24" s="18">
        <f>Mar20!O24</f>
        <v>0</v>
      </c>
      <c r="D24" s="22">
        <f>Mar20!P24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12"/>
      <c r="O24" s="121">
        <f t="shared" si="0"/>
        <v>0</v>
      </c>
      <c r="P24" s="122"/>
    </row>
    <row r="25" spans="1:16" s="29" customFormat="1" ht="12.75">
      <c r="A25" s="49" t="s">
        <v>239</v>
      </c>
      <c r="B25" s="506" t="s">
        <v>240</v>
      </c>
      <c r="C25" s="18">
        <f>Mar20!O25</f>
        <v>0</v>
      </c>
      <c r="D25" s="97">
        <f>Mar20!P25</f>
        <v>0</v>
      </c>
      <c r="E25" s="9"/>
      <c r="F25" s="52"/>
      <c r="G25" s="14"/>
      <c r="H25" s="53"/>
      <c r="I25" s="9"/>
      <c r="J25" s="52"/>
      <c r="K25" s="14"/>
      <c r="L25" s="53"/>
      <c r="M25" s="14"/>
      <c r="N25" s="12"/>
      <c r="O25" s="121">
        <f t="shared" si="0"/>
        <v>0</v>
      </c>
      <c r="P25" s="122"/>
    </row>
    <row r="26" spans="1:16" s="29" customFormat="1" ht="12.75">
      <c r="A26" s="49" t="s">
        <v>238</v>
      </c>
      <c r="B26" s="506" t="s">
        <v>231</v>
      </c>
      <c r="C26" s="18">
        <f>Mar20!O26</f>
        <v>0</v>
      </c>
      <c r="D26" s="10">
        <f>Mar20!P26</f>
        <v>0</v>
      </c>
      <c r="E26" s="9"/>
      <c r="F26" s="52"/>
      <c r="G26" s="14"/>
      <c r="H26" s="53"/>
      <c r="I26" s="9"/>
      <c r="J26" s="52"/>
      <c r="K26" s="14"/>
      <c r="L26" s="53"/>
      <c r="M26" s="14"/>
      <c r="N26" s="12"/>
      <c r="O26" s="121">
        <f t="shared" si="0"/>
        <v>0</v>
      </c>
      <c r="P26" s="122"/>
    </row>
    <row r="27" spans="1:16" s="29" customFormat="1" ht="12.75">
      <c r="A27" s="49" t="s">
        <v>534</v>
      </c>
      <c r="B27" s="506" t="s">
        <v>526</v>
      </c>
      <c r="C27" s="18">
        <f>Mar20!O27</f>
        <v>0</v>
      </c>
      <c r="D27" s="22">
        <f>Mar20!P27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12"/>
      <c r="O27" s="121">
        <f t="shared" si="0"/>
        <v>0</v>
      </c>
      <c r="P27" s="122"/>
    </row>
    <row r="28" spans="1:16" s="29" customFormat="1" ht="12.75">
      <c r="A28" s="49" t="s">
        <v>732</v>
      </c>
      <c r="B28" s="506" t="s">
        <v>520</v>
      </c>
      <c r="C28" s="18">
        <f>Mar20!O28</f>
        <v>0</v>
      </c>
      <c r="D28" s="97">
        <f>Mar20!P28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12"/>
      <c r="O28" s="121">
        <f t="shared" si="0"/>
        <v>0</v>
      </c>
      <c r="P28" s="122"/>
    </row>
    <row r="29" spans="1:16" s="29" customFormat="1" ht="12.75">
      <c r="A29" s="49" t="s">
        <v>213</v>
      </c>
      <c r="B29" s="506" t="s">
        <v>209</v>
      </c>
      <c r="C29" s="18">
        <f>Mar20!O29</f>
        <v>3060</v>
      </c>
      <c r="D29" s="10">
        <f>Mar20!P29</f>
        <v>0</v>
      </c>
      <c r="E29" s="9"/>
      <c r="F29" s="52"/>
      <c r="G29" s="14"/>
      <c r="H29" s="53"/>
      <c r="I29" s="9"/>
      <c r="J29" s="52"/>
      <c r="K29" s="14"/>
      <c r="L29" s="53"/>
      <c r="M29" s="14"/>
      <c r="N29" s="12"/>
      <c r="O29" s="121">
        <f t="shared" si="0"/>
        <v>3060</v>
      </c>
      <c r="P29" s="122"/>
    </row>
    <row r="30" spans="1:16" s="29" customFormat="1" ht="12.75">
      <c r="A30" s="49" t="s">
        <v>201</v>
      </c>
      <c r="B30" s="506" t="s">
        <v>200</v>
      </c>
      <c r="C30" s="18">
        <f>Mar20!O30</f>
        <v>0</v>
      </c>
      <c r="D30" s="22">
        <f>Mar20!P30</f>
        <v>0</v>
      </c>
      <c r="E30" s="9"/>
      <c r="F30" s="52"/>
      <c r="G30" s="14"/>
      <c r="H30" s="53"/>
      <c r="I30" s="9"/>
      <c r="J30" s="52"/>
      <c r="K30" s="14"/>
      <c r="L30" s="53"/>
      <c r="M30" s="14"/>
      <c r="N30" s="12"/>
      <c r="O30" s="121">
        <f t="shared" si="0"/>
        <v>0</v>
      </c>
      <c r="P30" s="122"/>
    </row>
    <row r="31" spans="1:16" s="29" customFormat="1" ht="12.75">
      <c r="A31" s="49" t="s">
        <v>202</v>
      </c>
      <c r="B31" s="506" t="s">
        <v>203</v>
      </c>
      <c r="C31" s="18">
        <f>Mar20!O31</f>
        <v>0</v>
      </c>
      <c r="D31" s="97">
        <f>Mar20!P31</f>
        <v>0</v>
      </c>
      <c r="E31" s="9"/>
      <c r="F31" s="52"/>
      <c r="G31" s="14"/>
      <c r="H31" s="53"/>
      <c r="I31" s="9"/>
      <c r="J31" s="52"/>
      <c r="K31" s="14"/>
      <c r="L31" s="53"/>
      <c r="M31" s="14"/>
      <c r="N31" s="12"/>
      <c r="O31" s="121">
        <f t="shared" si="0"/>
        <v>0</v>
      </c>
      <c r="P31" s="122"/>
    </row>
    <row r="32" spans="1:16" s="29" customFormat="1" ht="12.75">
      <c r="A32" s="49" t="s">
        <v>727</v>
      </c>
      <c r="B32" s="506" t="s">
        <v>728</v>
      </c>
      <c r="C32" s="18">
        <f>Mar20!O32</f>
        <v>15472460.32</v>
      </c>
      <c r="D32" s="10">
        <f>Mar20!P32</f>
        <v>0</v>
      </c>
      <c r="E32" s="9"/>
      <c r="F32" s="52"/>
      <c r="G32" s="14"/>
      <c r="H32" s="12"/>
      <c r="I32" s="9"/>
      <c r="J32" s="52"/>
      <c r="K32" s="14"/>
      <c r="L32" s="12"/>
      <c r="M32" s="14"/>
      <c r="N32" s="12"/>
      <c r="O32" s="121">
        <f t="shared" si="0"/>
        <v>15472460.32</v>
      </c>
      <c r="P32" s="122"/>
    </row>
    <row r="33" spans="1:16" s="29" customFormat="1" ht="12.75">
      <c r="A33" s="49" t="s">
        <v>12</v>
      </c>
      <c r="B33" s="506" t="s">
        <v>111</v>
      </c>
      <c r="C33" s="18">
        <f>Mar20!O33</f>
        <v>1208049.99</v>
      </c>
      <c r="D33" s="22">
        <f>Mar20!P33</f>
        <v>0</v>
      </c>
      <c r="E33" s="9"/>
      <c r="F33" s="52"/>
      <c r="G33" s="14"/>
      <c r="H33" s="12"/>
      <c r="I33" s="9"/>
      <c r="J33" s="52"/>
      <c r="K33" s="14"/>
      <c r="L33" s="12"/>
      <c r="M33" s="14"/>
      <c r="N33" s="12"/>
      <c r="O33" s="121">
        <f t="shared" si="0"/>
        <v>1208049.99</v>
      </c>
      <c r="P33" s="122">
        <f>D33+F33+J33+N33+H33-E33-G33-I33-M33+L33-K33</f>
        <v>0</v>
      </c>
    </row>
    <row r="34" spans="1:16" s="29" customFormat="1" ht="12.75">
      <c r="A34" s="49" t="s">
        <v>120</v>
      </c>
      <c r="B34" s="506" t="s">
        <v>112</v>
      </c>
      <c r="C34" s="18">
        <f>Mar20!O34</f>
        <v>0</v>
      </c>
      <c r="D34" s="97">
        <f>Mar20!P34</f>
        <v>364327.7</v>
      </c>
      <c r="E34" s="9"/>
      <c r="F34" s="52"/>
      <c r="G34" s="14"/>
      <c r="H34" s="12"/>
      <c r="I34" s="9"/>
      <c r="J34" s="52"/>
      <c r="K34" s="14"/>
      <c r="L34" s="12"/>
      <c r="M34" s="14"/>
      <c r="N34" s="12"/>
      <c r="O34" s="121"/>
      <c r="P34" s="122">
        <f>D34+F34+J34+N34+H34-E34-G34-I34-M34+L34-K34</f>
        <v>364327.7</v>
      </c>
    </row>
    <row r="35" spans="1:16" s="29" customFormat="1" ht="12.75">
      <c r="A35" s="49" t="s">
        <v>114</v>
      </c>
      <c r="B35" s="506" t="s">
        <v>113</v>
      </c>
      <c r="C35" s="18">
        <f>Mar20!O35</f>
        <v>718378</v>
      </c>
      <c r="D35" s="10">
        <f>Mar20!P35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12"/>
      <c r="O35" s="121">
        <f t="shared" si="0"/>
        <v>718378</v>
      </c>
      <c r="P35" s="122"/>
    </row>
    <row r="36" spans="1:16" s="29" customFormat="1" ht="12.75">
      <c r="A36" s="49" t="s">
        <v>115</v>
      </c>
      <c r="B36" s="506" t="s">
        <v>121</v>
      </c>
      <c r="C36" s="18">
        <f>Mar20!O36</f>
        <v>0</v>
      </c>
      <c r="D36" s="22">
        <f>Mar20!P36</f>
        <v>422310.89</v>
      </c>
      <c r="E36" s="9"/>
      <c r="F36" s="52"/>
      <c r="G36" s="14"/>
      <c r="H36" s="12"/>
      <c r="I36" s="9"/>
      <c r="J36" s="52"/>
      <c r="K36" s="14"/>
      <c r="L36" s="12"/>
      <c r="M36" s="14"/>
      <c r="N36" s="12"/>
      <c r="O36" s="121"/>
      <c r="P36" s="122">
        <f>D36+F36+J36+N36+H36-E36-G36-I36-M36+L36-K36</f>
        <v>422310.89</v>
      </c>
    </row>
    <row r="37" spans="1:16" s="29" customFormat="1" ht="12.75">
      <c r="A37" s="49" t="s">
        <v>39</v>
      </c>
      <c r="B37" s="506" t="s">
        <v>117</v>
      </c>
      <c r="C37" s="18">
        <f>Mar20!O37</f>
        <v>0</v>
      </c>
      <c r="D37" s="97">
        <f>Mar20!P37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12"/>
      <c r="O37" s="121">
        <f t="shared" si="0"/>
        <v>0</v>
      </c>
      <c r="P37" s="122"/>
    </row>
    <row r="38" spans="1:16" s="29" customFormat="1" ht="12.75">
      <c r="A38" s="49" t="s">
        <v>40</v>
      </c>
      <c r="B38" s="506" t="s">
        <v>116</v>
      </c>
      <c r="C38" s="18">
        <f>Mar20!O38</f>
        <v>0</v>
      </c>
      <c r="D38" s="10">
        <f>Mar20!P38</f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12"/>
      <c r="O38" s="121"/>
      <c r="P38" s="122">
        <f>D38+F38+J38+N38+H38-E38-G38-I38-M38+L38-K38</f>
        <v>0</v>
      </c>
    </row>
    <row r="39" spans="1:16" s="29" customFormat="1" ht="12.75">
      <c r="A39" s="49" t="s">
        <v>123</v>
      </c>
      <c r="B39" s="506" t="s">
        <v>124</v>
      </c>
      <c r="C39" s="18">
        <f>Mar20!O39</f>
        <v>0</v>
      </c>
      <c r="D39" s="22">
        <f>Mar20!P39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12"/>
      <c r="O39" s="121">
        <f t="shared" si="0"/>
        <v>0</v>
      </c>
      <c r="P39" s="122">
        <f>D39+F39+J39+N39+H39-E39-G39-I39-M39+L39-K39</f>
        <v>0</v>
      </c>
    </row>
    <row r="40" spans="1:16" s="29" customFormat="1" ht="12.75">
      <c r="A40" s="49" t="s">
        <v>122</v>
      </c>
      <c r="B40" s="506" t="s">
        <v>125</v>
      </c>
      <c r="C40" s="18">
        <f>Mar20!O40</f>
        <v>0</v>
      </c>
      <c r="D40" s="97">
        <f>Mar20!P40</f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12"/>
      <c r="O40" s="121"/>
      <c r="P40" s="122"/>
    </row>
    <row r="41" spans="1:16" s="29" customFormat="1" ht="12.75">
      <c r="A41" s="49" t="s">
        <v>530</v>
      </c>
      <c r="B41" s="506" t="s">
        <v>533</v>
      </c>
      <c r="C41" s="18">
        <f>Mar20!O43</f>
        <v>40622</v>
      </c>
      <c r="D41" s="10">
        <f>Mar20!P43</f>
        <v>0</v>
      </c>
      <c r="E41" s="9"/>
      <c r="F41" s="52"/>
      <c r="G41" s="14"/>
      <c r="H41" s="12"/>
      <c r="I41" s="9"/>
      <c r="J41" s="52"/>
      <c r="K41" s="14"/>
      <c r="L41" s="12"/>
      <c r="M41" s="14"/>
      <c r="N41" s="12"/>
      <c r="O41" s="121">
        <f t="shared" si="0"/>
        <v>40622</v>
      </c>
      <c r="P41" s="122">
        <f>D41+F41+J41+N41+H41-E41-G41-I41-M41+L41-K41</f>
        <v>0</v>
      </c>
    </row>
    <row r="42" spans="1:16" s="29" customFormat="1" ht="12.75">
      <c r="A42" s="49" t="s">
        <v>531</v>
      </c>
      <c r="B42" s="506" t="s">
        <v>532</v>
      </c>
      <c r="C42" s="18">
        <f>Mar20!O44</f>
        <v>0</v>
      </c>
      <c r="D42" s="22">
        <f>Mar20!P44</f>
        <v>9647.73</v>
      </c>
      <c r="E42" s="9"/>
      <c r="F42" s="52"/>
      <c r="G42" s="14"/>
      <c r="H42" s="12"/>
      <c r="I42" s="9"/>
      <c r="J42" s="52"/>
      <c r="K42" s="14"/>
      <c r="L42" s="12"/>
      <c r="M42" s="14"/>
      <c r="N42" s="12"/>
      <c r="O42" s="121"/>
      <c r="P42" s="122">
        <f>D42+F42+J42+N42+H42-E42-G42-I42-M42+L42-K42</f>
        <v>9647.73</v>
      </c>
    </row>
    <row r="43" spans="1:16" s="29" customFormat="1" ht="12.75">
      <c r="A43" s="49" t="s">
        <v>128</v>
      </c>
      <c r="B43" s="506" t="s">
        <v>130</v>
      </c>
      <c r="C43" s="18">
        <f>Mar20!O45</f>
        <v>545970</v>
      </c>
      <c r="D43" s="97">
        <f>Mar20!P45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12"/>
      <c r="O43" s="121">
        <f t="shared" si="0"/>
        <v>545970</v>
      </c>
      <c r="P43" s="122"/>
    </row>
    <row r="44" spans="1:16" s="29" customFormat="1" ht="12.75">
      <c r="A44" s="49" t="s">
        <v>129</v>
      </c>
      <c r="B44" s="506" t="s">
        <v>131</v>
      </c>
      <c r="C44" s="18">
        <f>Mar20!O46</f>
        <v>0</v>
      </c>
      <c r="D44" s="10">
        <f>Mar20!P46</f>
        <v>370243.56</v>
      </c>
      <c r="E44" s="9"/>
      <c r="F44" s="52"/>
      <c r="G44" s="14"/>
      <c r="H44" s="12"/>
      <c r="I44" s="9"/>
      <c r="J44" s="52"/>
      <c r="K44" s="14"/>
      <c r="L44" s="12"/>
      <c r="M44" s="14"/>
      <c r="N44" s="12"/>
      <c r="O44" s="121"/>
      <c r="P44" s="122">
        <f>D44+F44+J44+N44+H44-E44-G44-I44-M44+L44-K44</f>
        <v>370243.56</v>
      </c>
    </row>
    <row r="45" spans="1:16" s="29" customFormat="1" ht="12.75">
      <c r="A45" s="49" t="s">
        <v>41</v>
      </c>
      <c r="B45" s="506" t="s">
        <v>126</v>
      </c>
      <c r="C45" s="18">
        <f>Mar20!O47</f>
        <v>2391000</v>
      </c>
      <c r="D45" s="22">
        <f>Mar20!P47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12"/>
      <c r="O45" s="121">
        <f t="shared" si="0"/>
        <v>2391000</v>
      </c>
      <c r="P45" s="122">
        <f>D45+F45+J45+N45+H45-E45-G45-I45-M45+L45-K45</f>
        <v>0</v>
      </c>
    </row>
    <row r="46" spans="1:16" s="29" customFormat="1" ht="12.75">
      <c r="A46" s="49" t="s">
        <v>42</v>
      </c>
      <c r="B46" s="506" t="s">
        <v>127</v>
      </c>
      <c r="C46" s="18">
        <f>Mar20!O48</f>
        <v>0</v>
      </c>
      <c r="D46" s="97">
        <f>Mar20!P48</f>
        <v>854100</v>
      </c>
      <c r="E46" s="9"/>
      <c r="F46" s="52"/>
      <c r="G46" s="14"/>
      <c r="H46" s="12"/>
      <c r="I46" s="9"/>
      <c r="J46" s="52"/>
      <c r="K46" s="14"/>
      <c r="L46" s="12"/>
      <c r="M46" s="14"/>
      <c r="N46" s="12"/>
      <c r="O46" s="121"/>
      <c r="P46" s="122"/>
    </row>
    <row r="47" spans="1:16" s="29" customFormat="1" ht="12.75">
      <c r="A47" s="49" t="s">
        <v>13</v>
      </c>
      <c r="B47" s="506" t="s">
        <v>118</v>
      </c>
      <c r="C47" s="18">
        <f>Mar20!O49</f>
        <v>631727.2</v>
      </c>
      <c r="D47" s="10">
        <f>Mar20!P49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12"/>
      <c r="O47" s="121">
        <f t="shared" si="0"/>
        <v>631727.2</v>
      </c>
      <c r="P47" s="122">
        <f>D47+F47+J47+N47+H47-E47-G47-I47-M47+L47-K47</f>
        <v>0</v>
      </c>
    </row>
    <row r="48" spans="1:16" s="29" customFormat="1" ht="12.75">
      <c r="A48" s="49" t="s">
        <v>14</v>
      </c>
      <c r="B48" s="506" t="s">
        <v>119</v>
      </c>
      <c r="C48" s="18">
        <f>Mar20!O50</f>
        <v>0</v>
      </c>
      <c r="D48" s="22">
        <f>Mar20!P50</f>
        <v>319092.84</v>
      </c>
      <c r="E48" s="9"/>
      <c r="F48" s="52"/>
      <c r="G48" s="14"/>
      <c r="H48" s="12"/>
      <c r="I48" s="9"/>
      <c r="J48" s="52"/>
      <c r="K48" s="14"/>
      <c r="L48" s="12"/>
      <c r="M48" s="14"/>
      <c r="N48" s="12"/>
      <c r="O48" s="121"/>
      <c r="P48" s="122">
        <f>D48+F48+J48+N48+H48-E48-G48-I48-M48+L48-K48</f>
        <v>319092.84</v>
      </c>
    </row>
    <row r="49" spans="1:16" s="29" customFormat="1" ht="12.75">
      <c r="A49" s="49" t="s">
        <v>680</v>
      </c>
      <c r="B49" s="506" t="s">
        <v>681</v>
      </c>
      <c r="C49" s="18">
        <f>Mar20!O51</f>
        <v>0</v>
      </c>
      <c r="D49" s="97">
        <f>Mar20!P51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12"/>
      <c r="O49" s="121">
        <f t="shared" si="0"/>
        <v>0</v>
      </c>
      <c r="P49" s="122"/>
    </row>
    <row r="50" spans="1:16" s="29" customFormat="1" ht="12.75">
      <c r="A50" s="49" t="s">
        <v>683</v>
      </c>
      <c r="B50" s="506" t="s">
        <v>682</v>
      </c>
      <c r="C50" s="18">
        <f>Mar20!O52</f>
        <v>0</v>
      </c>
      <c r="D50" s="10">
        <f>Mar20!P52</f>
        <v>0</v>
      </c>
      <c r="E50" s="9"/>
      <c r="F50" s="52"/>
      <c r="G50" s="14"/>
      <c r="H50" s="12"/>
      <c r="I50" s="9"/>
      <c r="J50" s="52"/>
      <c r="K50" s="14"/>
      <c r="L50" s="12"/>
      <c r="M50" s="14"/>
      <c r="N50" s="12"/>
      <c r="O50" s="121"/>
      <c r="P50" s="122">
        <f>D50+F50+J50+N50+H50-E50-G50-I50-M50+L50-K50</f>
        <v>0</v>
      </c>
    </row>
    <row r="51" spans="1:16" s="29" customFormat="1" ht="12.75">
      <c r="A51" s="49" t="s">
        <v>559</v>
      </c>
      <c r="B51" s="506" t="s">
        <v>558</v>
      </c>
      <c r="C51" s="18">
        <f>Mar20!O53</f>
        <v>40426250</v>
      </c>
      <c r="D51" s="22">
        <f>Mar20!P53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12"/>
      <c r="O51" s="121">
        <f t="shared" si="0"/>
        <v>40426250</v>
      </c>
      <c r="P51" s="122"/>
    </row>
    <row r="52" spans="1:16" s="29" customFormat="1" ht="12.75">
      <c r="A52" s="54" t="s">
        <v>15</v>
      </c>
      <c r="B52" s="506" t="s">
        <v>132</v>
      </c>
      <c r="C52" s="18">
        <f>Mar20!O54</f>
        <v>327763.39</v>
      </c>
      <c r="D52" s="97">
        <f>Mar20!P54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12"/>
      <c r="O52" s="121">
        <f t="shared" si="0"/>
        <v>327763.39</v>
      </c>
      <c r="P52" s="122"/>
    </row>
    <row r="53" spans="1:16" s="29" customFormat="1" ht="12.75">
      <c r="A53" s="74"/>
      <c r="B53" s="75"/>
      <c r="C53" s="18">
        <f>Mar20!O55</f>
        <v>0</v>
      </c>
      <c r="D53" s="10">
        <f>Mar20!P55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12"/>
      <c r="O53" s="121">
        <f t="shared" si="0"/>
        <v>0</v>
      </c>
      <c r="P53" s="122"/>
    </row>
    <row r="54" spans="1:17" s="29" customFormat="1" ht="12.75">
      <c r="A54" s="269" t="s">
        <v>16</v>
      </c>
      <c r="B54" s="71"/>
      <c r="C54" s="18">
        <f>Mar20!O56</f>
        <v>0</v>
      </c>
      <c r="D54" s="22">
        <f>Mar20!P56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12"/>
      <c r="O54" s="121">
        <f t="shared" si="0"/>
        <v>0</v>
      </c>
      <c r="P54" s="122"/>
      <c r="Q54" s="55"/>
    </row>
    <row r="55" spans="1:17" s="29" customFormat="1" ht="12.75" customHeight="1">
      <c r="A55" s="49" t="s">
        <v>31</v>
      </c>
      <c r="B55" s="262" t="s">
        <v>133</v>
      </c>
      <c r="C55" s="18">
        <f>Mar20!O57</f>
        <v>0</v>
      </c>
      <c r="D55" s="97">
        <f>Mar20!P57</f>
        <v>35250</v>
      </c>
      <c r="E55" s="9"/>
      <c r="F55" s="52"/>
      <c r="G55" s="14"/>
      <c r="H55" s="12"/>
      <c r="I55" s="9"/>
      <c r="J55" s="52"/>
      <c r="K55" s="14"/>
      <c r="L55" s="12"/>
      <c r="M55" s="14"/>
      <c r="N55" s="12"/>
      <c r="O55" s="121"/>
      <c r="P55" s="122">
        <f aca="true" t="shared" si="1" ref="P55:P64">D55+F55+J55+N55+H55-E55-G55-I55-M55+L55-K55</f>
        <v>35250</v>
      </c>
      <c r="Q55" s="55"/>
    </row>
    <row r="56" spans="1:17" s="29" customFormat="1" ht="12.75" customHeight="1">
      <c r="A56" s="49" t="s">
        <v>46</v>
      </c>
      <c r="B56" s="262" t="s">
        <v>134</v>
      </c>
      <c r="C56" s="18">
        <f>Mar20!O58</f>
        <v>0</v>
      </c>
      <c r="D56" s="10">
        <f>Mar20!P58</f>
        <v>201883.59000000003</v>
      </c>
      <c r="E56" s="9"/>
      <c r="F56" s="52"/>
      <c r="G56" s="14"/>
      <c r="H56" s="12"/>
      <c r="I56" s="9"/>
      <c r="J56" s="52"/>
      <c r="K56" s="14"/>
      <c r="L56" s="12"/>
      <c r="M56" s="14"/>
      <c r="N56" s="12"/>
      <c r="O56" s="121"/>
      <c r="P56" s="122">
        <f t="shared" si="1"/>
        <v>201883.59000000003</v>
      </c>
      <c r="Q56" s="55"/>
    </row>
    <row r="57" spans="1:16" s="29" customFormat="1" ht="12.75">
      <c r="A57" s="74" t="s">
        <v>685</v>
      </c>
      <c r="B57" s="264" t="s">
        <v>684</v>
      </c>
      <c r="C57" s="18">
        <f>Mar20!O59</f>
        <v>0</v>
      </c>
      <c r="D57" s="22">
        <f>Mar20!P59</f>
        <v>606404.4900000001</v>
      </c>
      <c r="E57" s="9"/>
      <c r="F57" s="52"/>
      <c r="G57" s="14"/>
      <c r="H57" s="12"/>
      <c r="I57" s="9"/>
      <c r="J57" s="52"/>
      <c r="K57" s="14"/>
      <c r="L57" s="12"/>
      <c r="M57" s="14"/>
      <c r="N57" s="14"/>
      <c r="O57" s="121"/>
      <c r="P57" s="122">
        <f t="shared" si="1"/>
        <v>606404.4900000001</v>
      </c>
    </row>
    <row r="58" spans="1:16" s="29" customFormat="1" ht="12.75">
      <c r="A58" s="74" t="s">
        <v>686</v>
      </c>
      <c r="B58" s="264" t="s">
        <v>688</v>
      </c>
      <c r="C58" s="18">
        <f>Mar20!O60</f>
        <v>0</v>
      </c>
      <c r="D58" s="97">
        <f>Mar20!P60</f>
        <v>106583</v>
      </c>
      <c r="E58" s="9"/>
      <c r="F58" s="52"/>
      <c r="G58" s="14"/>
      <c r="H58" s="12"/>
      <c r="I58" s="9"/>
      <c r="J58" s="52"/>
      <c r="K58" s="14"/>
      <c r="L58" s="12"/>
      <c r="M58" s="14"/>
      <c r="N58" s="12"/>
      <c r="O58" s="121"/>
      <c r="P58" s="122">
        <f t="shared" si="1"/>
        <v>106583</v>
      </c>
    </row>
    <row r="59" spans="1:17" s="29" customFormat="1" ht="12.75">
      <c r="A59" s="74" t="s">
        <v>687</v>
      </c>
      <c r="B59" s="264" t="s">
        <v>689</v>
      </c>
      <c r="C59" s="18">
        <f>Mar20!O61</f>
        <v>0</v>
      </c>
      <c r="D59" s="10">
        <f>Mar20!P61</f>
        <v>25105.72</v>
      </c>
      <c r="E59" s="9"/>
      <c r="F59" s="52"/>
      <c r="G59" s="14"/>
      <c r="H59" s="12"/>
      <c r="I59" s="9"/>
      <c r="J59" s="52"/>
      <c r="K59" s="14"/>
      <c r="L59" s="12"/>
      <c r="M59" s="14"/>
      <c r="N59" s="12"/>
      <c r="O59" s="121"/>
      <c r="P59" s="122">
        <f t="shared" si="1"/>
        <v>25105.72</v>
      </c>
      <c r="Q59" s="55"/>
    </row>
    <row r="60" spans="1:17" s="29" customFormat="1" ht="12.75">
      <c r="A60" s="49" t="s">
        <v>690</v>
      </c>
      <c r="B60" s="262" t="s">
        <v>692</v>
      </c>
      <c r="C60" s="18">
        <f>Mar20!O62</f>
        <v>0</v>
      </c>
      <c r="D60" s="22">
        <f>Mar20!P62</f>
        <v>8611.039999999999</v>
      </c>
      <c r="E60" s="9"/>
      <c r="F60" s="52"/>
      <c r="G60" s="14"/>
      <c r="H60" s="12"/>
      <c r="I60" s="9"/>
      <c r="J60" s="52"/>
      <c r="K60" s="14"/>
      <c r="L60" s="12"/>
      <c r="M60" s="14"/>
      <c r="N60" s="12"/>
      <c r="O60" s="121"/>
      <c r="P60" s="122">
        <f t="shared" si="1"/>
        <v>8611.039999999999</v>
      </c>
      <c r="Q60" s="55"/>
    </row>
    <row r="61" spans="1:17" s="29" customFormat="1" ht="12.75">
      <c r="A61" s="49" t="s">
        <v>691</v>
      </c>
      <c r="B61" s="262" t="s">
        <v>693</v>
      </c>
      <c r="C61" s="18">
        <f>Mar20!O63</f>
        <v>0</v>
      </c>
      <c r="D61" s="97">
        <f>Mar20!P63</f>
        <v>2493</v>
      </c>
      <c r="E61" s="9"/>
      <c r="F61" s="52"/>
      <c r="G61" s="14"/>
      <c r="H61" s="12"/>
      <c r="I61" s="9"/>
      <c r="J61" s="52"/>
      <c r="K61" s="14"/>
      <c r="L61" s="12"/>
      <c r="M61" s="14"/>
      <c r="N61" s="12"/>
      <c r="O61" s="121"/>
      <c r="P61" s="122">
        <f t="shared" si="1"/>
        <v>2493</v>
      </c>
      <c r="Q61" s="55"/>
    </row>
    <row r="62" spans="1:17" s="29" customFormat="1" ht="12.75">
      <c r="A62" s="49" t="s">
        <v>47</v>
      </c>
      <c r="B62" s="262" t="s">
        <v>137</v>
      </c>
      <c r="C62" s="18">
        <f>Mar20!O64</f>
        <v>0</v>
      </c>
      <c r="D62" s="10">
        <f>Mar20!P64</f>
        <v>28358.740000000005</v>
      </c>
      <c r="E62" s="9"/>
      <c r="F62" s="52"/>
      <c r="G62" s="14"/>
      <c r="H62" s="12"/>
      <c r="I62" s="9"/>
      <c r="J62" s="52"/>
      <c r="K62" s="14"/>
      <c r="L62" s="12"/>
      <c r="M62" s="14"/>
      <c r="N62" s="12"/>
      <c r="O62" s="121"/>
      <c r="P62" s="122">
        <f t="shared" si="1"/>
        <v>28358.740000000005</v>
      </c>
      <c r="Q62" s="55"/>
    </row>
    <row r="63" spans="1:17" s="29" customFormat="1" ht="12.75">
      <c r="A63" s="74" t="s">
        <v>59</v>
      </c>
      <c r="B63" s="264" t="s">
        <v>138</v>
      </c>
      <c r="C63" s="18">
        <f>Mar20!O65</f>
        <v>0</v>
      </c>
      <c r="D63" s="22">
        <f>Mar20!P65</f>
        <v>73003.27000000003</v>
      </c>
      <c r="E63" s="9"/>
      <c r="F63" s="52"/>
      <c r="G63" s="14"/>
      <c r="H63" s="12"/>
      <c r="I63" s="9"/>
      <c r="J63" s="52"/>
      <c r="K63" s="14"/>
      <c r="L63" s="12"/>
      <c r="M63" s="14"/>
      <c r="N63" s="12"/>
      <c r="O63" s="121"/>
      <c r="P63" s="122">
        <f t="shared" si="1"/>
        <v>73003.27000000003</v>
      </c>
      <c r="Q63" s="55"/>
    </row>
    <row r="64" spans="1:17" s="29" customFormat="1" ht="12.75">
      <c r="A64" s="49" t="s">
        <v>17</v>
      </c>
      <c r="B64" s="262" t="s">
        <v>139</v>
      </c>
      <c r="C64" s="18">
        <f>Mar20!O66</f>
        <v>0</v>
      </c>
      <c r="D64" s="97">
        <f>Mar20!P66</f>
        <v>0</v>
      </c>
      <c r="E64" s="9"/>
      <c r="F64" s="52"/>
      <c r="G64" s="14"/>
      <c r="H64" s="12"/>
      <c r="I64" s="9"/>
      <c r="J64" s="52"/>
      <c r="K64" s="14"/>
      <c r="L64" s="12"/>
      <c r="M64" s="14"/>
      <c r="N64" s="12"/>
      <c r="O64" s="121"/>
      <c r="P64" s="122">
        <f t="shared" si="1"/>
        <v>0</v>
      </c>
      <c r="Q64" s="55"/>
    </row>
    <row r="65" spans="1:17" s="29" customFormat="1" ht="12.75">
      <c r="A65" s="5"/>
      <c r="B65" s="21"/>
      <c r="C65" s="18">
        <f>Mar20!O67</f>
        <v>0</v>
      </c>
      <c r="D65" s="10">
        <f>Mar20!P67</f>
        <v>0</v>
      </c>
      <c r="E65" s="9"/>
      <c r="F65" s="52"/>
      <c r="G65" s="14"/>
      <c r="H65" s="12"/>
      <c r="I65" s="9"/>
      <c r="J65" s="52"/>
      <c r="K65" s="14"/>
      <c r="L65" s="12"/>
      <c r="M65" s="14"/>
      <c r="N65" s="12"/>
      <c r="O65" s="121"/>
      <c r="P65" s="122"/>
      <c r="Q65" s="55"/>
    </row>
    <row r="66" spans="1:16" s="29" customFormat="1" ht="12.75">
      <c r="A66" s="270" t="s">
        <v>32</v>
      </c>
      <c r="B66" s="73"/>
      <c r="C66" s="18">
        <f>Mar20!O68</f>
        <v>0</v>
      </c>
      <c r="D66" s="22">
        <f>Mar20!P68</f>
        <v>0</v>
      </c>
      <c r="E66" s="9"/>
      <c r="F66" s="52"/>
      <c r="G66" s="14"/>
      <c r="H66" s="12"/>
      <c r="I66" s="9"/>
      <c r="J66" s="52"/>
      <c r="K66" s="14"/>
      <c r="L66" s="12"/>
      <c r="M66" s="14"/>
      <c r="N66" s="12"/>
      <c r="O66" s="121"/>
      <c r="P66" s="122"/>
    </row>
    <row r="67" spans="1:16" s="29" customFormat="1" ht="12.75">
      <c r="A67" s="49" t="s">
        <v>18</v>
      </c>
      <c r="B67" s="262" t="s">
        <v>140</v>
      </c>
      <c r="C67" s="18">
        <f>Mar20!O69</f>
        <v>0</v>
      </c>
      <c r="D67" s="97">
        <f>Mar20!P69</f>
        <v>93682852.88</v>
      </c>
      <c r="E67" s="9"/>
      <c r="F67" s="52"/>
      <c r="G67" s="14"/>
      <c r="H67" s="12"/>
      <c r="I67" s="9"/>
      <c r="J67" s="52"/>
      <c r="K67" s="14"/>
      <c r="L67" s="12"/>
      <c r="M67" s="14"/>
      <c r="N67" s="12">
        <v>277869.22</v>
      </c>
      <c r="O67" s="121"/>
      <c r="P67" s="122">
        <f>D67+F67+J67+N67+H67-E67-G67-I67-M67+L67-K67</f>
        <v>93960722.1</v>
      </c>
    </row>
    <row r="68" spans="1:17" s="29" customFormat="1" ht="12.75">
      <c r="A68" s="49" t="s">
        <v>142</v>
      </c>
      <c r="B68" s="249" t="s">
        <v>141</v>
      </c>
      <c r="C68" s="18">
        <f>Mar20!O70</f>
        <v>0</v>
      </c>
      <c r="D68" s="10">
        <f>Mar20!P70</f>
        <v>30174673.490000002</v>
      </c>
      <c r="E68" s="9"/>
      <c r="F68" s="52"/>
      <c r="G68" s="14"/>
      <c r="H68" s="12"/>
      <c r="I68" s="9"/>
      <c r="J68" s="52"/>
      <c r="K68" s="14"/>
      <c r="L68" s="12"/>
      <c r="M68" s="14">
        <v>30174673.49</v>
      </c>
      <c r="N68" s="14"/>
      <c r="O68" s="121"/>
      <c r="P68" s="122">
        <f>D68+F68+J68+N68+H68-E68-G68-I68-M68+L68-K68</f>
        <v>3.725290298461914E-09</v>
      </c>
      <c r="Q68" s="55"/>
    </row>
    <row r="69" spans="1:17" s="29" customFormat="1" ht="12.75">
      <c r="A69" s="49" t="s">
        <v>673</v>
      </c>
      <c r="B69" s="249" t="s">
        <v>745</v>
      </c>
      <c r="C69" s="18"/>
      <c r="D69" s="97">
        <f>Mar20!P71</f>
        <v>20208708.35</v>
      </c>
      <c r="E69" s="9"/>
      <c r="F69" s="52"/>
      <c r="G69" s="14"/>
      <c r="H69" s="12"/>
      <c r="I69" s="9"/>
      <c r="J69" s="52"/>
      <c r="K69" s="14"/>
      <c r="L69" s="12"/>
      <c r="M69" s="14">
        <v>20208708.35</v>
      </c>
      <c r="N69" s="9"/>
      <c r="O69" s="121"/>
      <c r="P69" s="122">
        <f>D69+F69+J69+N69+H69-E69-G69-I69-M69+L69-K69</f>
        <v>0</v>
      </c>
      <c r="Q69" s="55"/>
    </row>
    <row r="70" spans="1:16" s="29" customFormat="1" ht="12.75">
      <c r="A70" s="23"/>
      <c r="B70" s="72"/>
      <c r="C70" s="18">
        <f>Mar20!O72</f>
        <v>0</v>
      </c>
      <c r="D70" s="10">
        <f>Mar20!P72</f>
        <v>0</v>
      </c>
      <c r="E70" s="9"/>
      <c r="F70" s="26"/>
      <c r="G70" s="27"/>
      <c r="H70" s="28"/>
      <c r="I70" s="25"/>
      <c r="J70" s="26"/>
      <c r="K70" s="27"/>
      <c r="L70" s="28"/>
      <c r="M70" s="27"/>
      <c r="N70" s="28"/>
      <c r="O70" s="121"/>
      <c r="P70" s="122"/>
    </row>
    <row r="71" spans="1:16" s="29" customFormat="1" ht="12.75">
      <c r="A71" s="43" t="s">
        <v>19</v>
      </c>
      <c r="B71" s="72"/>
      <c r="C71" s="18">
        <f>Mar20!O73</f>
        <v>0</v>
      </c>
      <c r="D71" s="97">
        <f>Mar20!P73</f>
        <v>0</v>
      </c>
      <c r="E71" s="25"/>
      <c r="F71" s="26"/>
      <c r="G71" s="27"/>
      <c r="H71" s="28"/>
      <c r="I71" s="25"/>
      <c r="J71" s="26"/>
      <c r="K71" s="27"/>
      <c r="L71" s="28"/>
      <c r="M71" s="27"/>
      <c r="N71" s="28"/>
      <c r="O71" s="121"/>
      <c r="P71" s="122"/>
    </row>
    <row r="72" spans="1:17" s="29" customFormat="1" ht="12.75">
      <c r="A72" s="23" t="s">
        <v>143</v>
      </c>
      <c r="B72" s="265" t="s">
        <v>144</v>
      </c>
      <c r="C72" s="18">
        <f>Mar20!O74</f>
        <v>3664667.12</v>
      </c>
      <c r="D72" s="10">
        <f>Mar20!P74</f>
        <v>0</v>
      </c>
      <c r="E72" s="25"/>
      <c r="F72" s="26"/>
      <c r="G72" s="27"/>
      <c r="H72" s="28"/>
      <c r="I72" s="25"/>
      <c r="J72" s="26"/>
      <c r="K72" s="27"/>
      <c r="L72" s="28"/>
      <c r="M72" s="27"/>
      <c r="N72" s="28">
        <v>3664667.12</v>
      </c>
      <c r="O72" s="121">
        <f t="shared" si="0"/>
        <v>0</v>
      </c>
      <c r="P72" s="122"/>
      <c r="Q72" s="272"/>
    </row>
    <row r="73" spans="1:17" s="29" customFormat="1" ht="12.75">
      <c r="A73" s="23" t="s">
        <v>20</v>
      </c>
      <c r="B73" s="265" t="s">
        <v>145</v>
      </c>
      <c r="C73" s="18">
        <f>Mar20!O75</f>
        <v>126000</v>
      </c>
      <c r="D73" s="97">
        <f>Mar20!P75</f>
        <v>0</v>
      </c>
      <c r="E73" s="25"/>
      <c r="F73" s="26"/>
      <c r="G73" s="27"/>
      <c r="H73" s="28"/>
      <c r="I73" s="25"/>
      <c r="J73" s="26"/>
      <c r="K73" s="27"/>
      <c r="L73" s="28"/>
      <c r="M73" s="27"/>
      <c r="N73" s="28">
        <v>126000</v>
      </c>
      <c r="O73" s="121">
        <f t="shared" si="0"/>
        <v>0</v>
      </c>
      <c r="P73" s="122"/>
      <c r="Q73" s="272"/>
    </row>
    <row r="74" spans="1:17" s="29" customFormat="1" ht="12.75">
      <c r="A74" s="23" t="s">
        <v>21</v>
      </c>
      <c r="B74" s="265" t="s">
        <v>146</v>
      </c>
      <c r="C74" s="18">
        <f>Mar20!O76</f>
        <v>57000</v>
      </c>
      <c r="D74" s="10">
        <f>Mar20!P76</f>
        <v>0</v>
      </c>
      <c r="E74" s="25"/>
      <c r="F74" s="26"/>
      <c r="G74" s="27"/>
      <c r="H74" s="28"/>
      <c r="I74" s="25"/>
      <c r="J74" s="26"/>
      <c r="K74" s="27"/>
      <c r="L74" s="28"/>
      <c r="M74" s="27"/>
      <c r="N74" s="28">
        <v>57000</v>
      </c>
      <c r="O74" s="121">
        <f t="shared" si="0"/>
        <v>0</v>
      </c>
      <c r="P74" s="62"/>
      <c r="Q74" s="272"/>
    </row>
    <row r="75" spans="1:17" s="29" customFormat="1" ht="12.75">
      <c r="A75" s="23" t="s">
        <v>22</v>
      </c>
      <c r="B75" s="265" t="s">
        <v>147</v>
      </c>
      <c r="C75" s="18">
        <f>Mar20!O77</f>
        <v>57000</v>
      </c>
      <c r="D75" s="97">
        <f>Mar20!P77</f>
        <v>0</v>
      </c>
      <c r="E75" s="25"/>
      <c r="F75" s="26"/>
      <c r="G75" s="27"/>
      <c r="H75" s="28"/>
      <c r="I75" s="25"/>
      <c r="J75" s="26"/>
      <c r="K75" s="27"/>
      <c r="L75" s="28"/>
      <c r="M75" s="27"/>
      <c r="N75" s="28">
        <v>57000</v>
      </c>
      <c r="O75" s="121">
        <f t="shared" si="0"/>
        <v>0</v>
      </c>
      <c r="P75" s="62"/>
      <c r="Q75" s="272"/>
    </row>
    <row r="76" spans="1:17" s="29" customFormat="1" ht="12.75" hidden="1">
      <c r="A76" s="23" t="s">
        <v>67</v>
      </c>
      <c r="B76" s="265" t="s">
        <v>527</v>
      </c>
      <c r="C76" s="18">
        <f>Mar20!O78</f>
        <v>0</v>
      </c>
      <c r="D76" s="22">
        <f>Mar20!P78</f>
        <v>0</v>
      </c>
      <c r="E76" s="25"/>
      <c r="F76" s="26"/>
      <c r="G76" s="27"/>
      <c r="H76" s="28"/>
      <c r="I76" s="25"/>
      <c r="J76" s="26"/>
      <c r="K76" s="27"/>
      <c r="L76" s="28"/>
      <c r="M76" s="27"/>
      <c r="N76" s="28"/>
      <c r="O76" s="121">
        <f t="shared" si="0"/>
        <v>0</v>
      </c>
      <c r="P76" s="62"/>
      <c r="Q76" s="272"/>
    </row>
    <row r="77" spans="1:17" s="29" customFormat="1" ht="12.75" hidden="1">
      <c r="A77" s="23" t="s">
        <v>149</v>
      </c>
      <c r="B77" s="265" t="s">
        <v>148</v>
      </c>
      <c r="C77" s="18">
        <f>Mar20!O79</f>
        <v>0</v>
      </c>
      <c r="D77" s="97">
        <f>Mar20!P79</f>
        <v>0</v>
      </c>
      <c r="E77" s="25"/>
      <c r="F77" s="26"/>
      <c r="G77" s="27"/>
      <c r="H77" s="28"/>
      <c r="I77" s="25"/>
      <c r="J77" s="26"/>
      <c r="K77" s="27"/>
      <c r="L77" s="28"/>
      <c r="M77" s="27"/>
      <c r="N77" s="28"/>
      <c r="O77" s="121">
        <f t="shared" si="0"/>
        <v>0</v>
      </c>
      <c r="P77" s="62"/>
      <c r="Q77" s="272"/>
    </row>
    <row r="78" spans="1:17" s="29" customFormat="1" ht="12.75" hidden="1">
      <c r="A78" s="23" t="s">
        <v>66</v>
      </c>
      <c r="B78" s="265" t="s">
        <v>150</v>
      </c>
      <c r="C78" s="18">
        <f>Mar20!O80</f>
        <v>0</v>
      </c>
      <c r="D78" s="10">
        <f>Mar20!P80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8"/>
      <c r="O78" s="121">
        <f t="shared" si="0"/>
        <v>0</v>
      </c>
      <c r="P78" s="62"/>
      <c r="Q78" s="272"/>
    </row>
    <row r="79" spans="1:17" s="29" customFormat="1" ht="12.75" customHeight="1" hidden="1">
      <c r="A79" s="23" t="s">
        <v>221</v>
      </c>
      <c r="B79" s="265" t="s">
        <v>537</v>
      </c>
      <c r="C79" s="18">
        <f>Mar20!O81</f>
        <v>0</v>
      </c>
      <c r="D79" s="22">
        <f>Mar20!P81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8"/>
      <c r="O79" s="121">
        <f t="shared" si="0"/>
        <v>0</v>
      </c>
      <c r="P79" s="62"/>
      <c r="Q79" s="272"/>
    </row>
    <row r="80" spans="1:17" s="29" customFormat="1" ht="12.75" hidden="1">
      <c r="A80" s="23" t="s">
        <v>76</v>
      </c>
      <c r="B80" s="265" t="s">
        <v>153</v>
      </c>
      <c r="C80" s="18">
        <f>Mar20!O82</f>
        <v>0</v>
      </c>
      <c r="D80" s="97">
        <f>Mar20!P82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8"/>
      <c r="O80" s="121">
        <f t="shared" si="0"/>
        <v>0</v>
      </c>
      <c r="P80" s="62"/>
      <c r="Q80" s="272"/>
    </row>
    <row r="81" spans="1:17" s="29" customFormat="1" ht="12.75" hidden="1">
      <c r="A81" s="23" t="s">
        <v>242</v>
      </c>
      <c r="B81" s="265" t="s">
        <v>234</v>
      </c>
      <c r="C81" s="18">
        <f>Mar20!O83</f>
        <v>0</v>
      </c>
      <c r="D81" s="10">
        <f>Mar20!P83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8"/>
      <c r="O81" s="121">
        <f t="shared" si="0"/>
        <v>0</v>
      </c>
      <c r="P81" s="62"/>
      <c r="Q81" s="272"/>
    </row>
    <row r="82" spans="1:17" s="29" customFormat="1" ht="12.75" hidden="1">
      <c r="A82" s="23" t="s">
        <v>75</v>
      </c>
      <c r="B82" s="265" t="s">
        <v>152</v>
      </c>
      <c r="C82" s="18">
        <f>Mar20!O84</f>
        <v>0</v>
      </c>
      <c r="D82" s="22">
        <f>Mar20!P84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8"/>
      <c r="O82" s="121">
        <f t="shared" si="0"/>
        <v>0</v>
      </c>
      <c r="P82" s="62"/>
      <c r="Q82" s="272"/>
    </row>
    <row r="83" spans="1:17" s="29" customFormat="1" ht="12.75" hidden="1">
      <c r="A83" s="23" t="s">
        <v>70</v>
      </c>
      <c r="B83" s="265" t="s">
        <v>151</v>
      </c>
      <c r="C83" s="18">
        <f>Mar20!O85</f>
        <v>0</v>
      </c>
      <c r="D83" s="97">
        <f>Mar20!P85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8"/>
      <c r="O83" s="121">
        <f t="shared" si="0"/>
        <v>0</v>
      </c>
      <c r="P83" s="62"/>
      <c r="Q83" s="272"/>
    </row>
    <row r="84" spans="1:17" s="29" customFormat="1" ht="12.75">
      <c r="A84" s="23" t="s">
        <v>562</v>
      </c>
      <c r="B84" s="265" t="s">
        <v>563</v>
      </c>
      <c r="C84" s="18">
        <f>Mar20!O86</f>
        <v>193000</v>
      </c>
      <c r="D84" s="10">
        <f>Mar20!P86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8">
        <v>193000</v>
      </c>
      <c r="O84" s="121">
        <f t="shared" si="0"/>
        <v>0</v>
      </c>
      <c r="P84" s="62"/>
      <c r="Q84" s="272"/>
    </row>
    <row r="85" spans="1:17" s="29" customFormat="1" ht="12.75">
      <c r="A85" s="23" t="s">
        <v>564</v>
      </c>
      <c r="B85" s="265" t="s">
        <v>565</v>
      </c>
      <c r="C85" s="18">
        <f>Mar20!O87</f>
        <v>0</v>
      </c>
      <c r="D85" s="22">
        <f>Mar20!P87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8"/>
      <c r="O85" s="121">
        <f t="shared" si="0"/>
        <v>0</v>
      </c>
      <c r="P85" s="62"/>
      <c r="Q85" s="272"/>
    </row>
    <row r="86" spans="1:17" s="29" customFormat="1" ht="12.75" customHeight="1">
      <c r="A86" s="23" t="s">
        <v>553</v>
      </c>
      <c r="B86" s="265" t="s">
        <v>554</v>
      </c>
      <c r="C86" s="18">
        <f>Mar20!O88</f>
        <v>0</v>
      </c>
      <c r="D86" s="97">
        <f>Mar20!P88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8"/>
      <c r="O86" s="121">
        <f t="shared" si="0"/>
        <v>0</v>
      </c>
      <c r="P86" s="62"/>
      <c r="Q86" s="272"/>
    </row>
    <row r="87" spans="1:17" s="29" customFormat="1" ht="12.75">
      <c r="A87" s="23" t="s">
        <v>33</v>
      </c>
      <c r="B87" s="265" t="s">
        <v>154</v>
      </c>
      <c r="C87" s="18">
        <f>Mar20!O89</f>
        <v>229515.6</v>
      </c>
      <c r="D87" s="10">
        <f>Mar20!P89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8">
        <v>229515.6</v>
      </c>
      <c r="O87" s="121">
        <f t="shared" si="0"/>
        <v>0</v>
      </c>
      <c r="P87" s="62"/>
      <c r="Q87" s="272"/>
    </row>
    <row r="88" spans="1:17" s="29" customFormat="1" ht="12.75">
      <c r="A88" s="23" t="s">
        <v>34</v>
      </c>
      <c r="B88" s="265" t="s">
        <v>155</v>
      </c>
      <c r="C88" s="18">
        <f>Mar20!O90</f>
        <v>6169.36</v>
      </c>
      <c r="D88" s="22">
        <f>Mar20!P90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8">
        <v>6169.36</v>
      </c>
      <c r="O88" s="121">
        <f t="shared" si="0"/>
        <v>0</v>
      </c>
      <c r="P88" s="62"/>
      <c r="Q88" s="272"/>
    </row>
    <row r="89" spans="1:17" s="29" customFormat="1" ht="12.75">
      <c r="A89" s="23" t="s">
        <v>35</v>
      </c>
      <c r="B89" s="265" t="s">
        <v>156</v>
      </c>
      <c r="C89" s="18">
        <f>Mar20!O91</f>
        <v>37931.57</v>
      </c>
      <c r="D89" s="97">
        <f>Mar20!P91</f>
        <v>0</v>
      </c>
      <c r="E89" s="25"/>
      <c r="F89" s="26"/>
      <c r="G89" s="27"/>
      <c r="H89" s="28"/>
      <c r="I89" s="25"/>
      <c r="J89" s="26"/>
      <c r="K89" s="27"/>
      <c r="L89" s="28"/>
      <c r="M89" s="27"/>
      <c r="N89" s="28">
        <v>37931.57</v>
      </c>
      <c r="O89" s="121">
        <f t="shared" si="0"/>
        <v>0</v>
      </c>
      <c r="P89" s="62"/>
      <c r="Q89" s="272"/>
    </row>
    <row r="90" spans="1:17" s="29" customFormat="1" ht="12.75">
      <c r="A90" s="23" t="s">
        <v>36</v>
      </c>
      <c r="B90" s="265" t="s">
        <v>157</v>
      </c>
      <c r="C90" s="18">
        <f>Mar20!O92</f>
        <v>3800</v>
      </c>
      <c r="D90" s="10">
        <f>Mar20!P92</f>
        <v>0</v>
      </c>
      <c r="E90" s="25"/>
      <c r="F90" s="26"/>
      <c r="G90" s="27"/>
      <c r="H90" s="28"/>
      <c r="I90" s="25"/>
      <c r="J90" s="26"/>
      <c r="K90" s="27"/>
      <c r="L90" s="28"/>
      <c r="M90" s="27"/>
      <c r="N90" s="28">
        <v>3800</v>
      </c>
      <c r="O90" s="121">
        <f aca="true" t="shared" si="2" ref="O90:O153">C90+E90+I90+M90-D90-F90-J90-N90+G90-H90+K90-L90</f>
        <v>0</v>
      </c>
      <c r="P90" s="62"/>
      <c r="Q90" s="272"/>
    </row>
    <row r="91" spans="1:17" s="29" customFormat="1" ht="12.75">
      <c r="A91" s="23" t="s">
        <v>698</v>
      </c>
      <c r="B91" s="265" t="s">
        <v>699</v>
      </c>
      <c r="C91" s="18">
        <f>Mar20!O93</f>
        <v>0</v>
      </c>
      <c r="D91" s="22">
        <f>Mar20!P93</f>
        <v>0</v>
      </c>
      <c r="E91" s="25"/>
      <c r="F91" s="26"/>
      <c r="G91" s="27"/>
      <c r="H91" s="28"/>
      <c r="I91" s="25"/>
      <c r="J91" s="26"/>
      <c r="K91" s="27"/>
      <c r="L91" s="28"/>
      <c r="M91" s="27"/>
      <c r="N91" s="28"/>
      <c r="O91" s="121">
        <f t="shared" si="2"/>
        <v>0</v>
      </c>
      <c r="P91" s="62"/>
      <c r="Q91" s="272"/>
    </row>
    <row r="92" spans="1:17" s="29" customFormat="1" ht="12.75">
      <c r="A92" s="23" t="s">
        <v>208</v>
      </c>
      <c r="B92" s="265" t="s">
        <v>207</v>
      </c>
      <c r="C92" s="18">
        <f>Mar20!O94</f>
        <v>10000</v>
      </c>
      <c r="D92" s="97">
        <f>Mar20!P94</f>
        <v>0</v>
      </c>
      <c r="E92" s="25"/>
      <c r="F92" s="26"/>
      <c r="G92" s="27"/>
      <c r="H92" s="28"/>
      <c r="I92" s="25"/>
      <c r="J92" s="26"/>
      <c r="K92" s="27"/>
      <c r="L92" s="28"/>
      <c r="M92" s="27"/>
      <c r="N92" s="28">
        <v>10000</v>
      </c>
      <c r="O92" s="121">
        <f t="shared" si="2"/>
        <v>0</v>
      </c>
      <c r="P92" s="62"/>
      <c r="Q92" s="272"/>
    </row>
    <row r="93" spans="1:17" s="29" customFormat="1" ht="12.75">
      <c r="A93" s="23" t="s">
        <v>98</v>
      </c>
      <c r="B93" s="265" t="s">
        <v>555</v>
      </c>
      <c r="C93" s="18">
        <f>Mar20!O95</f>
        <v>755292</v>
      </c>
      <c r="D93" s="10">
        <f>Mar20!P95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8">
        <v>755292</v>
      </c>
      <c r="O93" s="121">
        <f t="shared" si="2"/>
        <v>0</v>
      </c>
      <c r="P93" s="62"/>
      <c r="Q93" s="272"/>
    </row>
    <row r="94" spans="1:17" s="29" customFormat="1" ht="12.75">
      <c r="A94" s="23" t="s">
        <v>28</v>
      </c>
      <c r="B94" s="265" t="s">
        <v>158</v>
      </c>
      <c r="C94" s="18">
        <f>Mar20!O96</f>
        <v>473029.66000000003</v>
      </c>
      <c r="D94" s="22">
        <f>Mar20!P96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8">
        <v>387731.66</v>
      </c>
      <c r="O94" s="121">
        <f t="shared" si="2"/>
        <v>85298.00000000006</v>
      </c>
      <c r="P94" s="62"/>
      <c r="Q94" s="272"/>
    </row>
    <row r="95" spans="1:17" s="29" customFormat="1" ht="12.75">
      <c r="A95" s="23" t="s">
        <v>243</v>
      </c>
      <c r="B95" s="265" t="s">
        <v>236</v>
      </c>
      <c r="C95" s="18">
        <f>Mar20!O97</f>
        <v>0</v>
      </c>
      <c r="D95" s="97">
        <f>Mar20!P97</f>
        <v>0</v>
      </c>
      <c r="E95" s="25"/>
      <c r="F95" s="26"/>
      <c r="G95" s="27"/>
      <c r="H95" s="28"/>
      <c r="I95" s="25"/>
      <c r="J95" s="26"/>
      <c r="K95" s="27"/>
      <c r="L95" s="28"/>
      <c r="M95" s="27"/>
      <c r="N95" s="28"/>
      <c r="O95" s="121">
        <f t="shared" si="2"/>
        <v>0</v>
      </c>
      <c r="P95" s="62"/>
      <c r="Q95" s="272"/>
    </row>
    <row r="96" spans="1:17" s="29" customFormat="1" ht="12.75">
      <c r="A96" s="23" t="s">
        <v>27</v>
      </c>
      <c r="B96" s="265" t="s">
        <v>159</v>
      </c>
      <c r="C96" s="18">
        <f>Mar20!O98</f>
        <v>918281.25</v>
      </c>
      <c r="D96" s="10">
        <f>Mar20!P98</f>
        <v>0</v>
      </c>
      <c r="E96" s="25"/>
      <c r="F96" s="26"/>
      <c r="G96" s="27"/>
      <c r="H96" s="28"/>
      <c r="I96" s="25"/>
      <c r="J96" s="26"/>
      <c r="K96" s="27"/>
      <c r="L96" s="28"/>
      <c r="M96" s="27"/>
      <c r="N96" s="28">
        <v>918281.25</v>
      </c>
      <c r="O96" s="121">
        <f t="shared" si="2"/>
        <v>0</v>
      </c>
      <c r="P96" s="62"/>
      <c r="Q96" s="272"/>
    </row>
    <row r="97" spans="1:17" s="29" customFormat="1" ht="12.75">
      <c r="A97" s="23" t="s">
        <v>160</v>
      </c>
      <c r="B97" s="265" t="s">
        <v>161</v>
      </c>
      <c r="C97" s="18">
        <f>Mar20!O99</f>
        <v>0</v>
      </c>
      <c r="D97" s="22">
        <f>Mar20!P99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8"/>
      <c r="O97" s="121">
        <f t="shared" si="2"/>
        <v>0</v>
      </c>
      <c r="P97" s="62"/>
      <c r="Q97" s="272"/>
    </row>
    <row r="98" spans="1:17" s="29" customFormat="1" ht="12.75">
      <c r="A98" s="23" t="s">
        <v>61</v>
      </c>
      <c r="B98" s="265" t="s">
        <v>162</v>
      </c>
      <c r="C98" s="18">
        <f>Mar20!O100</f>
        <v>5800.25</v>
      </c>
      <c r="D98" s="97">
        <f>Mar20!P100</f>
        <v>0</v>
      </c>
      <c r="E98" s="25"/>
      <c r="F98" s="26"/>
      <c r="G98" s="27"/>
      <c r="H98" s="28"/>
      <c r="I98" s="25"/>
      <c r="J98" s="26"/>
      <c r="K98" s="27"/>
      <c r="L98" s="28"/>
      <c r="M98" s="27"/>
      <c r="N98" s="28">
        <v>5800.25</v>
      </c>
      <c r="O98" s="121">
        <f t="shared" si="2"/>
        <v>0</v>
      </c>
      <c r="P98" s="62"/>
      <c r="Q98" s="272"/>
    </row>
    <row r="99" spans="1:17" s="29" customFormat="1" ht="12.75">
      <c r="A99" s="23" t="s">
        <v>56</v>
      </c>
      <c r="B99" s="265" t="s">
        <v>163</v>
      </c>
      <c r="C99" s="18">
        <f>Mar20!O101</f>
        <v>0</v>
      </c>
      <c r="D99" s="10">
        <f>Mar20!P101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8"/>
      <c r="O99" s="121">
        <f t="shared" si="2"/>
        <v>0</v>
      </c>
      <c r="P99" s="62"/>
      <c r="Q99" s="272"/>
    </row>
    <row r="100" spans="1:17" s="29" customFormat="1" ht="12.75">
      <c r="A100" s="23" t="s">
        <v>217</v>
      </c>
      <c r="B100" s="265" t="s">
        <v>218</v>
      </c>
      <c r="C100" s="18">
        <f>Mar20!O102</f>
        <v>0</v>
      </c>
      <c r="D100" s="22">
        <f>Mar20!P102</f>
        <v>0</v>
      </c>
      <c r="E100" s="25"/>
      <c r="F100" s="26"/>
      <c r="G100" s="27"/>
      <c r="H100" s="28"/>
      <c r="I100" s="25"/>
      <c r="J100" s="26"/>
      <c r="K100" s="27"/>
      <c r="L100" s="28"/>
      <c r="M100" s="27"/>
      <c r="N100" s="28"/>
      <c r="O100" s="121">
        <f t="shared" si="2"/>
        <v>0</v>
      </c>
      <c r="P100" s="62"/>
      <c r="Q100" s="272"/>
    </row>
    <row r="101" spans="1:17" s="29" customFormat="1" ht="12.75">
      <c r="A101" s="23" t="s">
        <v>164</v>
      </c>
      <c r="B101" s="265" t="s">
        <v>165</v>
      </c>
      <c r="C101" s="18">
        <f>Mar20!O103</f>
        <v>11025</v>
      </c>
      <c r="D101" s="97">
        <f>Mar20!P103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8">
        <v>11025</v>
      </c>
      <c r="O101" s="121">
        <f t="shared" si="2"/>
        <v>0</v>
      </c>
      <c r="P101" s="62"/>
      <c r="Q101" s="272"/>
    </row>
    <row r="102" spans="1:17" s="29" customFormat="1" ht="12.75" hidden="1">
      <c r="A102" s="23" t="s">
        <v>570</v>
      </c>
      <c r="B102" s="265" t="s">
        <v>556</v>
      </c>
      <c r="C102" s="18">
        <f>Mar20!O104</f>
        <v>0</v>
      </c>
      <c r="D102" s="10">
        <f>Mar20!P104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8"/>
      <c r="O102" s="121">
        <f t="shared" si="2"/>
        <v>0</v>
      </c>
      <c r="P102" s="62"/>
      <c r="Q102" s="272"/>
    </row>
    <row r="103" spans="1:17" s="29" customFormat="1" ht="12.75" hidden="1">
      <c r="A103" s="23" t="s">
        <v>535</v>
      </c>
      <c r="B103" s="265" t="s">
        <v>521</v>
      </c>
      <c r="C103" s="18">
        <f>Mar20!O105</f>
        <v>0</v>
      </c>
      <c r="D103" s="22">
        <f>Mar20!P105</f>
        <v>0</v>
      </c>
      <c r="E103" s="25"/>
      <c r="F103" s="26"/>
      <c r="G103" s="27"/>
      <c r="H103" s="28"/>
      <c r="I103" s="25"/>
      <c r="J103" s="26"/>
      <c r="K103" s="27"/>
      <c r="L103" s="28"/>
      <c r="M103" s="27"/>
      <c r="N103" s="28"/>
      <c r="O103" s="121">
        <f t="shared" si="2"/>
        <v>0</v>
      </c>
      <c r="P103" s="62"/>
      <c r="Q103" s="272"/>
    </row>
    <row r="104" spans="1:17" s="29" customFormat="1" ht="12.75" hidden="1">
      <c r="A104" s="23" t="s">
        <v>536</v>
      </c>
      <c r="B104" s="265" t="s">
        <v>522</v>
      </c>
      <c r="C104" s="18">
        <f>Mar20!O106</f>
        <v>0</v>
      </c>
      <c r="D104" s="97">
        <f>Mar20!P106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8"/>
      <c r="O104" s="121">
        <f t="shared" si="2"/>
        <v>0</v>
      </c>
      <c r="P104" s="62"/>
      <c r="Q104" s="272"/>
    </row>
    <row r="105" spans="1:17" s="29" customFormat="1" ht="12.75" hidden="1">
      <c r="A105" s="23" t="s">
        <v>571</v>
      </c>
      <c r="B105" s="265" t="s">
        <v>572</v>
      </c>
      <c r="C105" s="18">
        <f>Mar20!O107</f>
        <v>0</v>
      </c>
      <c r="D105" s="10">
        <f>Mar20!P107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8"/>
      <c r="O105" s="121">
        <f t="shared" si="2"/>
        <v>0</v>
      </c>
      <c r="P105" s="62"/>
      <c r="Q105" s="272"/>
    </row>
    <row r="106" spans="1:17" s="29" customFormat="1" ht="12.75" hidden="1">
      <c r="A106" s="23" t="s">
        <v>573</v>
      </c>
      <c r="B106" s="265" t="s">
        <v>557</v>
      </c>
      <c r="C106" s="18">
        <f>Mar20!O108</f>
        <v>0</v>
      </c>
      <c r="D106" s="22">
        <f>Mar20!P108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8"/>
      <c r="O106" s="121">
        <f t="shared" si="2"/>
        <v>0</v>
      </c>
      <c r="P106" s="62"/>
      <c r="Q106" s="272"/>
    </row>
    <row r="107" spans="1:17" s="29" customFormat="1" ht="12.75" hidden="1">
      <c r="A107" s="23" t="s">
        <v>241</v>
      </c>
      <c r="B107" s="265" t="s">
        <v>235</v>
      </c>
      <c r="C107" s="18">
        <f>Mar20!O109</f>
        <v>0</v>
      </c>
      <c r="D107" s="97">
        <f>Mar20!P109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8"/>
      <c r="O107" s="121">
        <f t="shared" si="2"/>
        <v>0</v>
      </c>
      <c r="P107" s="62"/>
      <c r="Q107" s="272"/>
    </row>
    <row r="108" spans="1:17" s="29" customFormat="1" ht="12.75" hidden="1">
      <c r="A108" s="23" t="s">
        <v>166</v>
      </c>
      <c r="B108" s="265" t="s">
        <v>167</v>
      </c>
      <c r="C108" s="18">
        <f>Mar20!O110</f>
        <v>0</v>
      </c>
      <c r="D108" s="10">
        <f>Mar20!P110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8"/>
      <c r="O108" s="121">
        <f t="shared" si="2"/>
        <v>0</v>
      </c>
      <c r="P108" s="62"/>
      <c r="Q108" s="272"/>
    </row>
    <row r="109" spans="1:17" s="29" customFormat="1" ht="12.75">
      <c r="A109" s="23" t="s">
        <v>37</v>
      </c>
      <c r="B109" s="265" t="s">
        <v>168</v>
      </c>
      <c r="C109" s="18">
        <f>Mar20!O111</f>
        <v>2652.2</v>
      </c>
      <c r="D109" s="22">
        <f>Mar20!P111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8">
        <v>2652.2</v>
      </c>
      <c r="O109" s="121">
        <f t="shared" si="2"/>
        <v>0</v>
      </c>
      <c r="P109" s="62"/>
      <c r="Q109" s="272"/>
    </row>
    <row r="110" spans="1:17" s="29" customFormat="1" ht="12.75">
      <c r="A110" s="23" t="s">
        <v>43</v>
      </c>
      <c r="B110" s="265" t="s">
        <v>169</v>
      </c>
      <c r="C110" s="18">
        <f>Mar20!O112</f>
        <v>33271.08</v>
      </c>
      <c r="D110" s="97">
        <f>Mar20!P112</f>
        <v>0</v>
      </c>
      <c r="E110" s="25"/>
      <c r="F110" s="26"/>
      <c r="G110" s="27"/>
      <c r="H110" s="28"/>
      <c r="I110" s="25"/>
      <c r="J110" s="26"/>
      <c r="K110" s="27"/>
      <c r="L110" s="28"/>
      <c r="M110" s="27"/>
      <c r="N110" s="28">
        <v>33271.08</v>
      </c>
      <c r="O110" s="121">
        <f t="shared" si="2"/>
        <v>0</v>
      </c>
      <c r="P110" s="62"/>
      <c r="Q110" s="272"/>
    </row>
    <row r="111" spans="1:17" s="29" customFormat="1" ht="12.75">
      <c r="A111" s="23" t="s">
        <v>694</v>
      </c>
      <c r="B111" s="265" t="s">
        <v>695</v>
      </c>
      <c r="C111" s="18">
        <f>Mar20!O113</f>
        <v>0</v>
      </c>
      <c r="D111" s="10">
        <f>Mar20!P113</f>
        <v>0</v>
      </c>
      <c r="E111" s="25"/>
      <c r="F111" s="26"/>
      <c r="G111" s="27"/>
      <c r="H111" s="28"/>
      <c r="I111" s="25"/>
      <c r="J111" s="26"/>
      <c r="K111" s="27"/>
      <c r="L111" s="28"/>
      <c r="M111" s="27"/>
      <c r="N111" s="28"/>
      <c r="O111" s="121">
        <f t="shared" si="2"/>
        <v>0</v>
      </c>
      <c r="P111" s="62"/>
      <c r="Q111" s="272"/>
    </row>
    <row r="112" spans="1:17" s="29" customFormat="1" ht="12.75">
      <c r="A112" s="23" t="s">
        <v>29</v>
      </c>
      <c r="B112" s="265" t="s">
        <v>170</v>
      </c>
      <c r="C112" s="18">
        <f>Mar20!O114</f>
        <v>20696.8</v>
      </c>
      <c r="D112" s="22">
        <f>Mar20!P114</f>
        <v>0</v>
      </c>
      <c r="E112" s="25"/>
      <c r="F112" s="26"/>
      <c r="G112" s="27"/>
      <c r="H112" s="28"/>
      <c r="I112" s="25"/>
      <c r="J112" s="26"/>
      <c r="K112" s="27"/>
      <c r="L112" s="28"/>
      <c r="M112" s="27"/>
      <c r="N112" s="28">
        <v>20696.8</v>
      </c>
      <c r="O112" s="121">
        <f t="shared" si="2"/>
        <v>0</v>
      </c>
      <c r="P112" s="62"/>
      <c r="Q112" s="272"/>
    </row>
    <row r="113" spans="1:17" s="29" customFormat="1" ht="12.75">
      <c r="A113" s="23" t="s">
        <v>194</v>
      </c>
      <c r="B113" s="265" t="s">
        <v>196</v>
      </c>
      <c r="C113" s="18">
        <f>Mar20!O115</f>
        <v>26201.93</v>
      </c>
      <c r="D113" s="97">
        <f>Mar20!P115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8">
        <v>26201.93</v>
      </c>
      <c r="O113" s="121">
        <f t="shared" si="2"/>
        <v>0</v>
      </c>
      <c r="P113" s="62"/>
      <c r="Q113" s="272"/>
    </row>
    <row r="114" spans="1:17" s="29" customFormat="1" ht="12.75">
      <c r="A114" s="23" t="s">
        <v>195</v>
      </c>
      <c r="B114" s="265" t="s">
        <v>197</v>
      </c>
      <c r="C114" s="18">
        <f>Mar20!O116</f>
        <v>5211.15</v>
      </c>
      <c r="D114" s="10">
        <f>Mar20!P116</f>
        <v>0</v>
      </c>
      <c r="E114" s="25"/>
      <c r="F114" s="26"/>
      <c r="G114" s="27"/>
      <c r="H114" s="28"/>
      <c r="I114" s="25"/>
      <c r="J114" s="26"/>
      <c r="K114" s="27"/>
      <c r="L114" s="28"/>
      <c r="M114" s="27"/>
      <c r="N114" s="28">
        <v>5211.15</v>
      </c>
      <c r="O114" s="121">
        <f t="shared" si="2"/>
        <v>0</v>
      </c>
      <c r="P114" s="62"/>
      <c r="Q114" s="272"/>
    </row>
    <row r="115" spans="1:17" s="29" customFormat="1" ht="12.75">
      <c r="A115" s="23" t="s">
        <v>171</v>
      </c>
      <c r="B115" s="265" t="s">
        <v>172</v>
      </c>
      <c r="C115" s="18">
        <f>Mar20!O117</f>
        <v>22444.6</v>
      </c>
      <c r="D115" s="22">
        <f>Mar20!P117</f>
        <v>0</v>
      </c>
      <c r="E115" s="25"/>
      <c r="F115" s="26"/>
      <c r="G115" s="27"/>
      <c r="H115" s="28"/>
      <c r="I115" s="25"/>
      <c r="J115" s="26"/>
      <c r="K115" s="27"/>
      <c r="L115" s="28"/>
      <c r="M115" s="27"/>
      <c r="N115" s="28">
        <v>22444.6</v>
      </c>
      <c r="O115" s="121">
        <f t="shared" si="2"/>
        <v>0</v>
      </c>
      <c r="P115" s="62"/>
      <c r="Q115" s="272"/>
    </row>
    <row r="116" spans="1:17" s="29" customFormat="1" ht="12.75">
      <c r="A116" s="23" t="s">
        <v>51</v>
      </c>
      <c r="B116" s="265" t="s">
        <v>173</v>
      </c>
      <c r="C116" s="18">
        <f>Mar20!O118</f>
        <v>300</v>
      </c>
      <c r="D116" s="97">
        <f>Mar20!P118</f>
        <v>0</v>
      </c>
      <c r="E116" s="25"/>
      <c r="F116" s="26"/>
      <c r="G116" s="27"/>
      <c r="H116" s="28"/>
      <c r="I116" s="25"/>
      <c r="J116" s="26"/>
      <c r="K116" s="27"/>
      <c r="L116" s="28"/>
      <c r="M116" s="27"/>
      <c r="N116" s="28">
        <v>300</v>
      </c>
      <c r="O116" s="121">
        <f t="shared" si="2"/>
        <v>0</v>
      </c>
      <c r="P116" s="62"/>
      <c r="Q116" s="272"/>
    </row>
    <row r="117" spans="1:17" s="29" customFormat="1" ht="12.75">
      <c r="A117" s="23" t="s">
        <v>539</v>
      </c>
      <c r="B117" s="265" t="s">
        <v>538</v>
      </c>
      <c r="C117" s="18">
        <f>Mar20!O119</f>
        <v>0</v>
      </c>
      <c r="D117" s="10">
        <f>Mar20!P119</f>
        <v>0</v>
      </c>
      <c r="E117" s="25"/>
      <c r="F117" s="26"/>
      <c r="G117" s="27"/>
      <c r="H117" s="28"/>
      <c r="I117" s="25"/>
      <c r="J117" s="26"/>
      <c r="K117" s="27"/>
      <c r="L117" s="28"/>
      <c r="M117" s="27"/>
      <c r="N117" s="28"/>
      <c r="O117" s="121">
        <f t="shared" si="2"/>
        <v>0</v>
      </c>
      <c r="P117" s="62"/>
      <c r="Q117" s="272"/>
    </row>
    <row r="118" spans="1:17" s="29" customFormat="1" ht="12.75">
      <c r="A118" s="23" t="s">
        <v>193</v>
      </c>
      <c r="B118" s="265" t="s">
        <v>190</v>
      </c>
      <c r="C118" s="18">
        <f>Mar20!O120</f>
        <v>27500.010000000002</v>
      </c>
      <c r="D118" s="22">
        <f>Mar20!P120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8">
        <v>27500.01</v>
      </c>
      <c r="O118" s="121">
        <f t="shared" si="2"/>
        <v>3.637978807091713E-12</v>
      </c>
      <c r="P118" s="62"/>
      <c r="Q118" s="272"/>
    </row>
    <row r="119" spans="1:17" s="29" customFormat="1" ht="12.75">
      <c r="A119" s="23" t="s">
        <v>71</v>
      </c>
      <c r="B119" s="265" t="s">
        <v>178</v>
      </c>
      <c r="C119" s="18">
        <f>Mar20!O121</f>
        <v>400</v>
      </c>
      <c r="D119" s="97">
        <f>Mar20!P121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8">
        <v>400</v>
      </c>
      <c r="O119" s="121">
        <f t="shared" si="2"/>
        <v>0</v>
      </c>
      <c r="P119" s="62"/>
      <c r="Q119" s="272"/>
    </row>
    <row r="120" spans="1:17" s="29" customFormat="1" ht="12.75" hidden="1">
      <c r="A120" s="23" t="s">
        <v>30</v>
      </c>
      <c r="B120" s="265" t="s">
        <v>179</v>
      </c>
      <c r="C120" s="18">
        <f>Mar20!O122</f>
        <v>0</v>
      </c>
      <c r="D120" s="10">
        <f>Mar20!P122</f>
        <v>0</v>
      </c>
      <c r="E120" s="25"/>
      <c r="F120" s="26"/>
      <c r="G120" s="27"/>
      <c r="H120" s="28"/>
      <c r="I120" s="25"/>
      <c r="J120" s="26"/>
      <c r="K120" s="27"/>
      <c r="L120" s="28"/>
      <c r="M120" s="27"/>
      <c r="N120" s="28"/>
      <c r="O120" s="121">
        <f t="shared" si="2"/>
        <v>0</v>
      </c>
      <c r="P120" s="62"/>
      <c r="Q120" s="272"/>
    </row>
    <row r="121" spans="1:17" s="29" customFormat="1" ht="12.75" hidden="1">
      <c r="A121" s="23" t="s">
        <v>198</v>
      </c>
      <c r="B121" s="265" t="s">
        <v>199</v>
      </c>
      <c r="C121" s="18">
        <f>Mar20!O123</f>
        <v>0</v>
      </c>
      <c r="D121" s="22">
        <f>Mar20!P123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8"/>
      <c r="O121" s="121">
        <f t="shared" si="2"/>
        <v>0</v>
      </c>
      <c r="P121" s="62"/>
      <c r="Q121" s="272"/>
    </row>
    <row r="122" spans="1:17" s="29" customFormat="1" ht="12.75" hidden="1">
      <c r="A122" s="23" t="s">
        <v>72</v>
      </c>
      <c r="B122" s="265" t="s">
        <v>182</v>
      </c>
      <c r="C122" s="18">
        <f>Mar20!O124</f>
        <v>192692.65</v>
      </c>
      <c r="D122" s="97">
        <f>Mar20!P124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8"/>
      <c r="O122" s="121">
        <f t="shared" si="2"/>
        <v>192692.65</v>
      </c>
      <c r="P122" s="62"/>
      <c r="Q122" s="272"/>
    </row>
    <row r="123" spans="1:17" s="29" customFormat="1" ht="12.75" hidden="1">
      <c r="A123" s="23" t="s">
        <v>65</v>
      </c>
      <c r="B123" s="265" t="s">
        <v>183</v>
      </c>
      <c r="C123" s="18">
        <f>Mar20!O125</f>
        <v>0</v>
      </c>
      <c r="D123" s="10">
        <f>Mar20!P125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8"/>
      <c r="O123" s="121">
        <f t="shared" si="2"/>
        <v>0</v>
      </c>
      <c r="P123" s="62"/>
      <c r="Q123" s="272"/>
    </row>
    <row r="124" spans="1:17" s="29" customFormat="1" ht="12.75" hidden="1">
      <c r="A124" s="23" t="s">
        <v>180</v>
      </c>
      <c r="B124" s="265" t="s">
        <v>181</v>
      </c>
      <c r="C124" s="18">
        <f>Mar20!O126</f>
        <v>0</v>
      </c>
      <c r="D124" s="22">
        <f>Mar20!P126</f>
        <v>0</v>
      </c>
      <c r="E124" s="25"/>
      <c r="F124" s="26"/>
      <c r="G124" s="27"/>
      <c r="H124" s="28"/>
      <c r="I124" s="25"/>
      <c r="J124" s="26"/>
      <c r="K124" s="27"/>
      <c r="L124" s="28"/>
      <c r="M124" s="27"/>
      <c r="N124" s="28"/>
      <c r="O124" s="121">
        <f t="shared" si="2"/>
        <v>0</v>
      </c>
      <c r="P124" s="62"/>
      <c r="Q124" s="272"/>
    </row>
    <row r="125" spans="1:17" s="29" customFormat="1" ht="12.75" hidden="1">
      <c r="A125" s="23" t="s">
        <v>184</v>
      </c>
      <c r="B125" s="265" t="s">
        <v>185</v>
      </c>
      <c r="C125" s="18">
        <f>Mar20!O127</f>
        <v>0</v>
      </c>
      <c r="D125" s="97">
        <f>Mar20!P127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8"/>
      <c r="O125" s="121">
        <f t="shared" si="2"/>
        <v>0</v>
      </c>
      <c r="P125" s="62"/>
      <c r="Q125" s="272"/>
    </row>
    <row r="126" spans="1:17" s="29" customFormat="1" ht="12.75" hidden="1">
      <c r="A126" s="23" t="s">
        <v>186</v>
      </c>
      <c r="B126" s="265" t="s">
        <v>204</v>
      </c>
      <c r="C126" s="18">
        <f>Mar20!O128</f>
        <v>0</v>
      </c>
      <c r="D126" s="10">
        <f>Mar20!P128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8"/>
      <c r="O126" s="121">
        <f t="shared" si="2"/>
        <v>0</v>
      </c>
      <c r="P126" s="62"/>
      <c r="Q126" s="272"/>
    </row>
    <row r="127" spans="1:17" s="29" customFormat="1" ht="12.75">
      <c r="A127" s="23" t="s">
        <v>219</v>
      </c>
      <c r="B127" s="265" t="s">
        <v>205</v>
      </c>
      <c r="C127" s="18">
        <f>Mar20!O129</f>
        <v>4430</v>
      </c>
      <c r="D127" s="22">
        <f>Mar20!P129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8">
        <v>4430</v>
      </c>
      <c r="O127" s="121">
        <f t="shared" si="2"/>
        <v>0</v>
      </c>
      <c r="P127" s="62"/>
      <c r="Q127" s="272"/>
    </row>
    <row r="128" spans="1:17" s="29" customFormat="1" ht="12.75">
      <c r="A128" s="23" t="s">
        <v>220</v>
      </c>
      <c r="B128" s="265" t="s">
        <v>206</v>
      </c>
      <c r="C128" s="18">
        <f>Mar20!O130</f>
        <v>55510</v>
      </c>
      <c r="D128" s="97">
        <f>Mar20!P130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8">
        <v>55510</v>
      </c>
      <c r="O128" s="121">
        <f t="shared" si="2"/>
        <v>0</v>
      </c>
      <c r="P128" s="62"/>
      <c r="Q128" s="272"/>
    </row>
    <row r="129" spans="1:17" s="29" customFormat="1" ht="12.75">
      <c r="A129" s="23" t="s">
        <v>584</v>
      </c>
      <c r="B129" s="265" t="s">
        <v>585</v>
      </c>
      <c r="C129" s="18">
        <f>Mar20!O131</f>
        <v>0</v>
      </c>
      <c r="D129" s="10">
        <f>Mar20!P131</f>
        <v>0</v>
      </c>
      <c r="E129" s="25"/>
      <c r="F129" s="26"/>
      <c r="G129" s="27"/>
      <c r="H129" s="28"/>
      <c r="I129" s="25"/>
      <c r="J129" s="26"/>
      <c r="K129" s="27"/>
      <c r="L129" s="28"/>
      <c r="M129" s="27"/>
      <c r="N129" s="28"/>
      <c r="O129" s="121">
        <f t="shared" si="2"/>
        <v>0</v>
      </c>
      <c r="P129" s="62"/>
      <c r="Q129" s="272"/>
    </row>
    <row r="130" spans="1:17" s="29" customFormat="1" ht="12.75">
      <c r="A130" s="23" t="s">
        <v>188</v>
      </c>
      <c r="B130" s="265" t="s">
        <v>189</v>
      </c>
      <c r="C130" s="18">
        <f>Mar20!O132</f>
        <v>0</v>
      </c>
      <c r="D130" s="22">
        <f>Mar20!P132</f>
        <v>0</v>
      </c>
      <c r="E130" s="25"/>
      <c r="F130" s="26"/>
      <c r="G130" s="27"/>
      <c r="H130" s="28"/>
      <c r="I130" s="25"/>
      <c r="J130" s="26"/>
      <c r="K130" s="27"/>
      <c r="L130" s="28"/>
      <c r="M130" s="27"/>
      <c r="N130" s="28"/>
      <c r="O130" s="121">
        <f t="shared" si="2"/>
        <v>0</v>
      </c>
      <c r="P130" s="62"/>
      <c r="Q130" s="272"/>
    </row>
    <row r="131" spans="1:17" s="29" customFormat="1" ht="12.75">
      <c r="A131" s="23" t="s">
        <v>229</v>
      </c>
      <c r="B131" s="265" t="s">
        <v>227</v>
      </c>
      <c r="C131" s="18">
        <f>Mar20!O133</f>
        <v>54640</v>
      </c>
      <c r="D131" s="97">
        <f>Mar20!P133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8">
        <v>38140</v>
      </c>
      <c r="O131" s="121">
        <f t="shared" si="2"/>
        <v>16500</v>
      </c>
      <c r="P131" s="62"/>
      <c r="Q131" s="272"/>
    </row>
    <row r="132" spans="1:17" s="29" customFormat="1" ht="12.75">
      <c r="A132" s="23" t="s">
        <v>64</v>
      </c>
      <c r="B132" s="265" t="s">
        <v>187</v>
      </c>
      <c r="C132" s="18">
        <f>Mar20!O134</f>
        <v>0</v>
      </c>
      <c r="D132" s="10">
        <f>Mar20!P134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8"/>
      <c r="O132" s="121">
        <f t="shared" si="2"/>
        <v>0</v>
      </c>
      <c r="P132" s="62"/>
      <c r="Q132" s="272"/>
    </row>
    <row r="133" spans="1:17" s="29" customFormat="1" ht="12.75">
      <c r="A133" s="23" t="s">
        <v>587</v>
      </c>
      <c r="B133" s="265" t="s">
        <v>586</v>
      </c>
      <c r="C133" s="18">
        <f>Mar20!O135</f>
        <v>0</v>
      </c>
      <c r="D133" s="22">
        <f>Mar20!P135</f>
        <v>0</v>
      </c>
      <c r="E133" s="25"/>
      <c r="F133" s="26"/>
      <c r="G133" s="27"/>
      <c r="H133" s="28"/>
      <c r="I133" s="25"/>
      <c r="J133" s="26"/>
      <c r="K133" s="27"/>
      <c r="L133" s="28"/>
      <c r="M133" s="27"/>
      <c r="N133" s="28"/>
      <c r="O133" s="121">
        <f t="shared" si="2"/>
        <v>0</v>
      </c>
      <c r="P133" s="62"/>
      <c r="Q133" s="272"/>
    </row>
    <row r="134" spans="1:17" s="29" customFormat="1" ht="12.75">
      <c r="A134" s="23" t="s">
        <v>233</v>
      </c>
      <c r="B134" s="265" t="s">
        <v>232</v>
      </c>
      <c r="C134" s="18">
        <f>Mar20!O136</f>
        <v>43004053.66</v>
      </c>
      <c r="D134" s="97">
        <f>Mar20!P136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8">
        <v>42891040.47</v>
      </c>
      <c r="O134" s="121">
        <f t="shared" si="2"/>
        <v>113013.18999999762</v>
      </c>
      <c r="P134" s="62"/>
      <c r="Q134" s="272"/>
    </row>
    <row r="135" spans="1:17" s="29" customFormat="1" ht="12.75">
      <c r="A135" s="23" t="s">
        <v>69</v>
      </c>
      <c r="B135" s="265" t="s">
        <v>191</v>
      </c>
      <c r="C135" s="18">
        <f>Mar20!O137</f>
        <v>0</v>
      </c>
      <c r="D135" s="10">
        <f>Mar20!P137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8"/>
      <c r="O135" s="121">
        <f t="shared" si="2"/>
        <v>0</v>
      </c>
      <c r="P135" s="62"/>
      <c r="Q135" s="272"/>
    </row>
    <row r="136" spans="1:17" s="29" customFormat="1" ht="12.75">
      <c r="A136" s="23" t="s">
        <v>211</v>
      </c>
      <c r="B136" s="265" t="s">
        <v>212</v>
      </c>
      <c r="C136" s="18">
        <f>Mar20!O138</f>
        <v>0</v>
      </c>
      <c r="D136" s="22">
        <f>Mar20!P138</f>
        <v>0</v>
      </c>
      <c r="E136" s="25"/>
      <c r="F136" s="26"/>
      <c r="G136" s="27"/>
      <c r="H136" s="28"/>
      <c r="I136" s="25"/>
      <c r="J136" s="26"/>
      <c r="K136" s="27"/>
      <c r="L136" s="28"/>
      <c r="M136" s="27"/>
      <c r="N136" s="28"/>
      <c r="O136" s="121">
        <f t="shared" si="2"/>
        <v>0</v>
      </c>
      <c r="P136" s="62"/>
      <c r="Q136" s="272"/>
    </row>
    <row r="137" spans="1:17" s="29" customFormat="1" ht="12.75">
      <c r="A137" s="23" t="s">
        <v>540</v>
      </c>
      <c r="B137" s="265" t="s">
        <v>523</v>
      </c>
      <c r="C137" s="18">
        <f>Mar20!O139</f>
        <v>0</v>
      </c>
      <c r="D137" s="97">
        <f>Mar20!P139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8"/>
      <c r="O137" s="121">
        <f t="shared" si="2"/>
        <v>0</v>
      </c>
      <c r="P137" s="62"/>
      <c r="Q137" s="272"/>
    </row>
    <row r="138" spans="1:17" s="29" customFormat="1" ht="12.75">
      <c r="A138" s="23" t="s">
        <v>73</v>
      </c>
      <c r="B138" s="265" t="s">
        <v>192</v>
      </c>
      <c r="C138" s="18">
        <f>Mar20!O140</f>
        <v>87903.04000000001</v>
      </c>
      <c r="D138" s="10">
        <f>Mar20!P140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8">
        <v>87903.04</v>
      </c>
      <c r="O138" s="121">
        <f t="shared" si="2"/>
        <v>1.4551915228366852E-11</v>
      </c>
      <c r="P138" s="62"/>
      <c r="Q138" s="272"/>
    </row>
    <row r="139" spans="1:17" s="29" customFormat="1" ht="12.75">
      <c r="A139" s="23" t="s">
        <v>38</v>
      </c>
      <c r="B139" s="265" t="s">
        <v>175</v>
      </c>
      <c r="C139" s="18">
        <f>Mar20!O141</f>
        <v>0</v>
      </c>
      <c r="D139" s="22">
        <f>Mar20!P141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8"/>
      <c r="O139" s="121">
        <f t="shared" si="2"/>
        <v>0</v>
      </c>
      <c r="P139" s="62"/>
      <c r="Q139" s="272"/>
    </row>
    <row r="140" spans="1:17" s="29" customFormat="1" ht="12.75">
      <c r="A140" s="23" t="s">
        <v>62</v>
      </c>
      <c r="B140" s="265" t="s">
        <v>176</v>
      </c>
      <c r="C140" s="18">
        <f>Mar20!O142</f>
        <v>0</v>
      </c>
      <c r="D140" s="97">
        <f>Mar20!P142</f>
        <v>0</v>
      </c>
      <c r="E140" s="25"/>
      <c r="F140" s="26"/>
      <c r="G140" s="27"/>
      <c r="H140" s="28"/>
      <c r="I140" s="25"/>
      <c r="J140" s="26"/>
      <c r="K140" s="27"/>
      <c r="L140" s="28"/>
      <c r="M140" s="27"/>
      <c r="N140" s="28"/>
      <c r="O140" s="121">
        <f t="shared" si="2"/>
        <v>0</v>
      </c>
      <c r="P140" s="62"/>
      <c r="Q140" s="272"/>
    </row>
    <row r="141" spans="1:17" s="29" customFormat="1" ht="12.75">
      <c r="A141" s="23" t="s">
        <v>63</v>
      </c>
      <c r="B141" s="265" t="s">
        <v>177</v>
      </c>
      <c r="C141" s="18">
        <f>Mar20!O143</f>
        <v>1460</v>
      </c>
      <c r="D141" s="10">
        <f>Mar20!P143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8">
        <v>1460</v>
      </c>
      <c r="O141" s="121">
        <f t="shared" si="2"/>
        <v>0</v>
      </c>
      <c r="P141" s="62"/>
      <c r="Q141" s="272"/>
    </row>
    <row r="142" spans="1:17" s="29" customFormat="1" ht="12.75">
      <c r="A142" s="23" t="s">
        <v>560</v>
      </c>
      <c r="B142" s="265" t="s">
        <v>561</v>
      </c>
      <c r="C142" s="18">
        <f>Mar20!O144</f>
        <v>0</v>
      </c>
      <c r="D142" s="22">
        <f>Mar20!P144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8"/>
      <c r="O142" s="121">
        <f t="shared" si="2"/>
        <v>0</v>
      </c>
      <c r="P142" s="62"/>
      <c r="Q142" s="272"/>
    </row>
    <row r="143" spans="1:17" s="29" customFormat="1" ht="12.75">
      <c r="A143" s="23" t="s">
        <v>53</v>
      </c>
      <c r="B143" s="265" t="s">
        <v>528</v>
      </c>
      <c r="C143" s="18">
        <f>Mar20!O145</f>
        <v>0</v>
      </c>
      <c r="D143" s="97">
        <f>Mar20!P145</f>
        <v>0</v>
      </c>
      <c r="E143" s="25"/>
      <c r="F143" s="26"/>
      <c r="G143" s="27"/>
      <c r="H143" s="28"/>
      <c r="I143" s="25"/>
      <c r="J143" s="26"/>
      <c r="K143" s="27"/>
      <c r="L143" s="28"/>
      <c r="M143" s="27"/>
      <c r="N143" s="28"/>
      <c r="O143" s="121">
        <f t="shared" si="2"/>
        <v>0</v>
      </c>
      <c r="P143" s="62"/>
      <c r="Q143" s="272"/>
    </row>
    <row r="144" spans="1:17" s="29" customFormat="1" ht="12.75">
      <c r="A144" s="23" t="s">
        <v>701</v>
      </c>
      <c r="B144" s="265" t="s">
        <v>702</v>
      </c>
      <c r="C144" s="18">
        <f>Mar20!O146</f>
        <v>0</v>
      </c>
      <c r="D144" s="10">
        <f>Mar20!P146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8"/>
      <c r="O144" s="121">
        <f t="shared" si="2"/>
        <v>0</v>
      </c>
      <c r="P144" s="62"/>
      <c r="Q144" s="272"/>
    </row>
    <row r="145" spans="1:17" s="29" customFormat="1" ht="12.75">
      <c r="A145" s="23" t="s">
        <v>68</v>
      </c>
      <c r="B145" s="265" t="s">
        <v>174</v>
      </c>
      <c r="C145" s="18">
        <f>Mar20!O147</f>
        <v>0</v>
      </c>
      <c r="D145" s="22">
        <f>Mar20!P147</f>
        <v>0</v>
      </c>
      <c r="E145" s="25"/>
      <c r="F145" s="26"/>
      <c r="G145" s="27"/>
      <c r="H145" s="28"/>
      <c r="I145" s="25"/>
      <c r="J145" s="26"/>
      <c r="K145" s="27"/>
      <c r="L145" s="28"/>
      <c r="M145" s="27"/>
      <c r="N145" s="28"/>
      <c r="O145" s="121">
        <f t="shared" si="2"/>
        <v>0</v>
      </c>
      <c r="P145" s="62"/>
      <c r="Q145" s="272"/>
    </row>
    <row r="146" spans="1:17" s="29" customFormat="1" ht="12.75">
      <c r="A146" s="23" t="s">
        <v>244</v>
      </c>
      <c r="B146" s="265" t="s">
        <v>237</v>
      </c>
      <c r="C146" s="18">
        <f>Mar20!O148</f>
        <v>0</v>
      </c>
      <c r="D146" s="97">
        <f>Mar20!P148</f>
        <v>0</v>
      </c>
      <c r="E146" s="25"/>
      <c r="F146" s="26"/>
      <c r="G146" s="27"/>
      <c r="H146" s="28"/>
      <c r="I146" s="25"/>
      <c r="J146" s="26"/>
      <c r="K146" s="27"/>
      <c r="L146" s="28"/>
      <c r="M146" s="27"/>
      <c r="N146" s="28"/>
      <c r="O146" s="121">
        <f t="shared" si="2"/>
        <v>0</v>
      </c>
      <c r="P146" s="62"/>
      <c r="Q146" s="272"/>
    </row>
    <row r="147" spans="1:17" s="29" customFormat="1" ht="12.75">
      <c r="A147" s="23" t="s">
        <v>23</v>
      </c>
      <c r="B147" s="265" t="s">
        <v>524</v>
      </c>
      <c r="C147" s="18">
        <f>Mar20!O149</f>
        <v>261044.88</v>
      </c>
      <c r="D147" s="10">
        <f>Mar20!P149</f>
        <v>0</v>
      </c>
      <c r="E147" s="25"/>
      <c r="F147" s="26"/>
      <c r="G147" s="27"/>
      <c r="H147" s="28"/>
      <c r="I147" s="25"/>
      <c r="J147" s="26"/>
      <c r="K147" s="27"/>
      <c r="L147" s="28"/>
      <c r="M147" s="27"/>
      <c r="N147" s="28">
        <v>425137.53</v>
      </c>
      <c r="O147" s="121">
        <f t="shared" si="2"/>
        <v>-164092.65000000002</v>
      </c>
      <c r="P147" s="62"/>
      <c r="Q147" s="272"/>
    </row>
    <row r="148" spans="1:17" s="29" customFormat="1" ht="12.75">
      <c r="A148" s="23" t="s">
        <v>245</v>
      </c>
      <c r="B148" s="265" t="s">
        <v>525</v>
      </c>
      <c r="C148" s="18">
        <f>Mar20!O150</f>
        <v>0</v>
      </c>
      <c r="D148" s="22">
        <f>Mar20!P150</f>
        <v>0</v>
      </c>
      <c r="E148" s="25"/>
      <c r="F148" s="26"/>
      <c r="G148" s="27"/>
      <c r="H148" s="28"/>
      <c r="I148" s="25"/>
      <c r="J148" s="26"/>
      <c r="K148" s="27"/>
      <c r="L148" s="28"/>
      <c r="M148" s="27"/>
      <c r="N148" s="28"/>
      <c r="O148" s="121">
        <f t="shared" si="2"/>
        <v>0</v>
      </c>
      <c r="P148" s="62"/>
      <c r="Q148" s="272"/>
    </row>
    <row r="149" spans="1:17" s="29" customFormat="1" ht="12.75" hidden="1">
      <c r="A149" s="8" t="s">
        <v>214</v>
      </c>
      <c r="B149" s="265" t="s">
        <v>574</v>
      </c>
      <c r="C149" s="18">
        <f>Mar20!O151</f>
        <v>0</v>
      </c>
      <c r="D149" s="97">
        <f>Mar20!P151</f>
        <v>0</v>
      </c>
      <c r="E149" s="25"/>
      <c r="F149" s="26"/>
      <c r="G149" s="27"/>
      <c r="H149" s="28"/>
      <c r="I149" s="25"/>
      <c r="J149" s="26"/>
      <c r="K149" s="27"/>
      <c r="L149" s="28"/>
      <c r="M149" s="27"/>
      <c r="N149" s="28"/>
      <c r="O149" s="121">
        <f t="shared" si="2"/>
        <v>0</v>
      </c>
      <c r="P149" s="62"/>
      <c r="Q149" s="272"/>
    </row>
    <row r="150" spans="1:17" s="29" customFormat="1" ht="12.75" hidden="1">
      <c r="A150" s="8" t="s">
        <v>77</v>
      </c>
      <c r="B150" s="265" t="s">
        <v>575</v>
      </c>
      <c r="C150" s="18">
        <f>Mar20!O152</f>
        <v>0</v>
      </c>
      <c r="D150" s="10">
        <f>Mar20!P152</f>
        <v>0</v>
      </c>
      <c r="E150" s="25"/>
      <c r="F150" s="26"/>
      <c r="G150" s="27"/>
      <c r="H150" s="28"/>
      <c r="I150" s="25"/>
      <c r="J150" s="26"/>
      <c r="K150" s="27"/>
      <c r="L150" s="28"/>
      <c r="M150" s="27"/>
      <c r="N150" s="28"/>
      <c r="O150" s="121">
        <f t="shared" si="2"/>
        <v>0</v>
      </c>
      <c r="P150" s="62"/>
      <c r="Q150" s="272"/>
    </row>
    <row r="151" spans="1:17" s="29" customFormat="1" ht="12.75" hidden="1">
      <c r="A151" s="8" t="s">
        <v>78</v>
      </c>
      <c r="B151" s="265" t="s">
        <v>576</v>
      </c>
      <c r="C151" s="18">
        <f>Mar20!O153</f>
        <v>0</v>
      </c>
      <c r="D151" s="22">
        <f>Mar20!P153</f>
        <v>0</v>
      </c>
      <c r="E151" s="25"/>
      <c r="F151" s="26"/>
      <c r="G151" s="27"/>
      <c r="H151" s="28"/>
      <c r="I151" s="25"/>
      <c r="J151" s="26"/>
      <c r="K151" s="27"/>
      <c r="L151" s="28"/>
      <c r="M151" s="27"/>
      <c r="N151" s="28"/>
      <c r="O151" s="121">
        <f t="shared" si="2"/>
        <v>0</v>
      </c>
      <c r="P151" s="62"/>
      <c r="Q151" s="272"/>
    </row>
    <row r="152" spans="1:17" s="29" customFormat="1" ht="12.75" hidden="1">
      <c r="A152" s="8" t="s">
        <v>79</v>
      </c>
      <c r="B152" s="265" t="s">
        <v>577</v>
      </c>
      <c r="C152" s="18">
        <f>Mar20!O154</f>
        <v>0</v>
      </c>
      <c r="D152" s="97">
        <f>Mar20!P154</f>
        <v>0</v>
      </c>
      <c r="E152" s="25"/>
      <c r="F152" s="26"/>
      <c r="G152" s="27"/>
      <c r="H152" s="28"/>
      <c r="I152" s="25"/>
      <c r="J152" s="26"/>
      <c r="K152" s="27"/>
      <c r="L152" s="28"/>
      <c r="M152" s="27"/>
      <c r="N152" s="28"/>
      <c r="O152" s="121">
        <f t="shared" si="2"/>
        <v>0</v>
      </c>
      <c r="P152" s="62"/>
      <c r="Q152" s="272"/>
    </row>
    <row r="153" spans="1:17" s="29" customFormat="1" ht="12.75" hidden="1">
      <c r="A153" s="8" t="s">
        <v>578</v>
      </c>
      <c r="B153" s="265" t="s">
        <v>579</v>
      </c>
      <c r="C153" s="18">
        <f>Mar20!O155</f>
        <v>0</v>
      </c>
      <c r="D153" s="10">
        <f>Mar20!P155</f>
        <v>0</v>
      </c>
      <c r="E153" s="25"/>
      <c r="F153" s="26"/>
      <c r="G153" s="27"/>
      <c r="H153" s="28"/>
      <c r="I153" s="25"/>
      <c r="J153" s="26"/>
      <c r="K153" s="27"/>
      <c r="L153" s="28"/>
      <c r="M153" s="27"/>
      <c r="N153" s="28"/>
      <c r="O153" s="121">
        <f t="shared" si="2"/>
        <v>0</v>
      </c>
      <c r="P153" s="62"/>
      <c r="Q153" s="471"/>
    </row>
    <row r="154" spans="1:17" s="29" customFormat="1" ht="12.75" hidden="1">
      <c r="A154" s="8" t="s">
        <v>580</v>
      </c>
      <c r="B154" s="265" t="s">
        <v>581</v>
      </c>
      <c r="C154" s="18">
        <f>Mar20!O156</f>
        <v>0</v>
      </c>
      <c r="D154" s="22">
        <f>Mar20!P156</f>
        <v>0</v>
      </c>
      <c r="E154" s="25"/>
      <c r="F154" s="26"/>
      <c r="G154" s="27"/>
      <c r="H154" s="28"/>
      <c r="I154" s="25"/>
      <c r="J154" s="26"/>
      <c r="K154" s="27"/>
      <c r="L154" s="28"/>
      <c r="M154" s="27"/>
      <c r="N154" s="28"/>
      <c r="O154" s="121">
        <f>C154+E154+I154+M154-D154-F154-J154-N154+G154-H154+K154-L154</f>
        <v>0</v>
      </c>
      <c r="P154" s="62"/>
      <c r="Q154" s="471"/>
    </row>
    <row r="155" spans="1:16" s="29" customFormat="1" ht="13.5" hidden="1" thickBot="1">
      <c r="A155" s="8" t="s">
        <v>82</v>
      </c>
      <c r="B155" s="265" t="s">
        <v>582</v>
      </c>
      <c r="C155" s="472">
        <f>Mar20!O157</f>
        <v>0</v>
      </c>
      <c r="D155" s="473">
        <f>Mar20!P157</f>
        <v>0</v>
      </c>
      <c r="E155" s="59"/>
      <c r="F155" s="60"/>
      <c r="G155" s="57"/>
      <c r="H155" s="58"/>
      <c r="I155" s="59"/>
      <c r="J155" s="60"/>
      <c r="K155" s="57"/>
      <c r="L155" s="58"/>
      <c r="M155" s="57"/>
      <c r="N155" s="58"/>
      <c r="O155" s="472">
        <f>C155+E155+I155+M155-D155-F155-J155-N155+G155-H155+K155-L155</f>
        <v>0</v>
      </c>
      <c r="P155" s="226"/>
    </row>
    <row r="156" spans="1:16" s="29" customFormat="1" ht="13.5" thickBot="1">
      <c r="A156" s="64" t="s">
        <v>24</v>
      </c>
      <c r="B156" s="65"/>
      <c r="C156" s="66">
        <f aca="true" t="shared" si="3" ref="C156:P156">SUM(C14:C155)</f>
        <v>147493650.29</v>
      </c>
      <c r="D156" s="67">
        <f t="shared" si="3"/>
        <v>147493650.29</v>
      </c>
      <c r="E156" s="68">
        <f t="shared" si="3"/>
        <v>0</v>
      </c>
      <c r="F156" s="66">
        <f t="shared" si="3"/>
        <v>0</v>
      </c>
      <c r="G156" s="66">
        <f t="shared" si="3"/>
        <v>0</v>
      </c>
      <c r="H156" s="66">
        <f t="shared" si="3"/>
        <v>0</v>
      </c>
      <c r="I156" s="66">
        <f t="shared" si="3"/>
        <v>0</v>
      </c>
      <c r="J156" s="66">
        <f t="shared" si="3"/>
        <v>0</v>
      </c>
      <c r="K156" s="66">
        <f t="shared" si="3"/>
        <v>0</v>
      </c>
      <c r="L156" s="66">
        <f t="shared" si="3"/>
        <v>0</v>
      </c>
      <c r="M156" s="66">
        <f t="shared" si="3"/>
        <v>50383381.84</v>
      </c>
      <c r="N156" s="66">
        <f t="shared" si="3"/>
        <v>50383381.839999996</v>
      </c>
      <c r="O156" s="66">
        <f t="shared" si="3"/>
        <v>97388137.67</v>
      </c>
      <c r="P156" s="101">
        <f t="shared" si="3"/>
        <v>96534037.67</v>
      </c>
    </row>
    <row r="157" spans="1:16" s="29" customFormat="1" ht="12.75">
      <c r="A157" s="30"/>
      <c r="B157" s="30"/>
      <c r="C157" s="30"/>
      <c r="D157" s="31">
        <f>C156-D156</f>
        <v>0</v>
      </c>
      <c r="E157" s="30"/>
      <c r="F157" s="31">
        <f>E156-F156</f>
        <v>0</v>
      </c>
      <c r="G157" s="30"/>
      <c r="H157" s="31">
        <f>G156-H156</f>
        <v>0</v>
      </c>
      <c r="I157" s="30"/>
      <c r="J157" s="31"/>
      <c r="K157" s="30"/>
      <c r="L157" s="31">
        <f>K156-L156</f>
        <v>0</v>
      </c>
      <c r="M157" s="30"/>
      <c r="N157" s="31">
        <f>M156-N156</f>
        <v>0</v>
      </c>
      <c r="O157" s="30"/>
      <c r="P157" s="31">
        <f>O156-P156</f>
        <v>854100</v>
      </c>
    </row>
    <row r="158" spans="1:16" s="29" customFormat="1" ht="12.75">
      <c r="A158" s="30"/>
      <c r="B158" s="30"/>
      <c r="C158" s="30"/>
      <c r="D158" s="31"/>
      <c r="E158" s="30"/>
      <c r="F158" s="31"/>
      <c r="G158" s="30"/>
      <c r="H158" s="31"/>
      <c r="I158" s="30"/>
      <c r="J158" s="31"/>
      <c r="K158" s="30"/>
      <c r="L158" s="31"/>
      <c r="M158" s="30"/>
      <c r="N158" s="31"/>
      <c r="O158" s="30"/>
      <c r="P158" s="31"/>
    </row>
    <row r="159" spans="1:16" s="29" customFormat="1" ht="12.75">
      <c r="A159" s="69" t="s">
        <v>25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1" t="s">
        <v>55</v>
      </c>
      <c r="P159" s="30"/>
    </row>
    <row r="160" spans="1:16" s="29" customFormat="1" ht="12.75">
      <c r="A160" s="6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99"/>
      <c r="P160" s="30"/>
    </row>
    <row r="161" spans="1:16" s="29" customFormat="1" ht="12.75">
      <c r="A161" s="6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00"/>
      <c r="P161" s="30"/>
    </row>
    <row r="162" spans="1:16" s="29" customFormat="1" ht="12.75">
      <c r="A162" s="17" t="s">
        <v>658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20" t="s">
        <v>712</v>
      </c>
      <c r="P162" s="30"/>
    </row>
    <row r="163" spans="1:16" s="29" customFormat="1" ht="12.75">
      <c r="A163" s="16" t="s">
        <v>210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" t="s">
        <v>224</v>
      </c>
      <c r="P163" s="30"/>
    </row>
  </sheetData>
  <sheetProtection/>
  <mergeCells count="15">
    <mergeCell ref="G10:H10"/>
    <mergeCell ref="I10:J10"/>
    <mergeCell ref="K10:L10"/>
    <mergeCell ref="M10:N10"/>
    <mergeCell ref="C10:D10"/>
    <mergeCell ref="A2:P2"/>
    <mergeCell ref="A3:P3"/>
    <mergeCell ref="O10:O11"/>
    <mergeCell ref="P10:P11"/>
    <mergeCell ref="A5:P5"/>
    <mergeCell ref="A6:P6"/>
    <mergeCell ref="A7:P7"/>
    <mergeCell ref="A8:P8"/>
    <mergeCell ref="A9:P9"/>
    <mergeCell ref="E10:F10"/>
  </mergeCells>
  <printOptions horizontalCentered="1"/>
  <pageMargins left="0.25" right="0.25" top="0.25" bottom="0.25" header="0.3" footer="0.3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7"/>
  <sheetViews>
    <sheetView zoomScalePageLayoutView="0" workbookViewId="0" topLeftCell="A130">
      <selection activeCell="C145" sqref="C145:C146"/>
    </sheetView>
  </sheetViews>
  <sheetFormatPr defaultColWidth="9.140625" defaultRowHeight="12.75"/>
  <cols>
    <col min="1" max="1" width="2.421875" style="77" customWidth="1"/>
    <col min="2" max="2" width="50.7109375" style="77" customWidth="1"/>
    <col min="3" max="3" width="14.8515625" style="77" customWidth="1"/>
    <col min="4" max="4" width="1.7109375" style="77" customWidth="1"/>
    <col min="5" max="5" width="14.8515625" style="77" bestFit="1" customWidth="1"/>
    <col min="6" max="6" width="0" style="76" hidden="1" customWidth="1"/>
    <col min="7" max="7" width="12.8515625" style="76" hidden="1" customWidth="1"/>
    <col min="8" max="8" width="0" style="76" hidden="1" customWidth="1"/>
    <col min="9" max="16384" width="9.140625" style="77" customWidth="1"/>
  </cols>
  <sheetData>
    <row r="1" spans="1:5" ht="12.75">
      <c r="A1" s="551" t="s">
        <v>1</v>
      </c>
      <c r="B1" s="551"/>
      <c r="C1" s="551"/>
      <c r="D1" s="551"/>
      <c r="E1" s="551"/>
    </row>
    <row r="2" spans="1:5" ht="12.75">
      <c r="A2" s="551" t="s">
        <v>246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">
        <v>748</v>
      </c>
      <c r="B4" s="552"/>
      <c r="C4" s="552"/>
      <c r="D4" s="552"/>
      <c r="E4" s="552"/>
    </row>
    <row r="5" spans="1:5" ht="12.75">
      <c r="A5" s="1"/>
      <c r="B5" s="1"/>
      <c r="C5" s="1"/>
      <c r="D5" s="1"/>
      <c r="E5" s="1"/>
    </row>
    <row r="6" spans="1:5" ht="12.75">
      <c r="A6" s="20" t="s">
        <v>247</v>
      </c>
      <c r="B6" s="1"/>
      <c r="C6" s="1"/>
      <c r="D6" s="1"/>
      <c r="E6" s="1"/>
    </row>
    <row r="7" spans="1:5" ht="6.75" customHeight="1">
      <c r="A7" s="1"/>
      <c r="B7" s="1"/>
      <c r="C7" s="78"/>
      <c r="D7" s="78"/>
      <c r="E7" s="1"/>
    </row>
    <row r="8" spans="1:5" s="76" customFormat="1" ht="14.25" customHeight="1">
      <c r="A8" s="80" t="s">
        <v>248</v>
      </c>
      <c r="C8" s="146">
        <v>0</v>
      </c>
      <c r="D8" s="79"/>
      <c r="E8" s="95"/>
    </row>
    <row r="9" spans="1:5" ht="14.25" customHeight="1">
      <c r="A9" s="1"/>
      <c r="B9" s="1"/>
      <c r="C9" s="78"/>
      <c r="D9" s="78"/>
      <c r="E9" s="79"/>
    </row>
    <row r="10" spans="1:5" ht="12.75">
      <c r="A10" s="2" t="s">
        <v>249</v>
      </c>
      <c r="B10" s="1"/>
      <c r="C10" s="78"/>
      <c r="D10" s="78"/>
      <c r="E10" s="78"/>
    </row>
    <row r="11" spans="1:5" ht="6.75" customHeight="1">
      <c r="A11" s="2"/>
      <c r="B11" s="3"/>
      <c r="C11" s="79"/>
      <c r="D11" s="78"/>
      <c r="E11" s="78"/>
    </row>
    <row r="12" spans="1:5" ht="12.75" customHeight="1">
      <c r="A12" s="2"/>
      <c r="B12" s="80" t="s">
        <v>250</v>
      </c>
      <c r="C12" s="79"/>
      <c r="D12" s="78"/>
      <c r="E12" s="78"/>
    </row>
    <row r="13" spans="1:5" ht="12.75" customHeight="1">
      <c r="A13" s="2"/>
      <c r="B13" s="131" t="s">
        <v>251</v>
      </c>
      <c r="C13" s="79"/>
      <c r="D13" s="78"/>
      <c r="E13" s="78"/>
    </row>
    <row r="14" spans="1:5" ht="12.75">
      <c r="A14" s="80"/>
      <c r="B14" s="132" t="s">
        <v>143</v>
      </c>
      <c r="C14" s="91">
        <f>ConvertedTB!O72</f>
        <v>0</v>
      </c>
      <c r="D14" s="92">
        <v>12553153.57</v>
      </c>
      <c r="E14" s="78"/>
    </row>
    <row r="15" spans="1:5" ht="12.75">
      <c r="A15" s="80"/>
      <c r="B15" s="133" t="s">
        <v>252</v>
      </c>
      <c r="C15" s="134">
        <f>+C14</f>
        <v>0</v>
      </c>
      <c r="D15" s="92"/>
      <c r="E15" s="78"/>
    </row>
    <row r="16" spans="1:5" ht="12.75">
      <c r="A16" s="80"/>
      <c r="B16" s="132"/>
      <c r="C16" s="92"/>
      <c r="D16" s="92"/>
      <c r="E16" s="78"/>
    </row>
    <row r="17" spans="1:5" ht="12.75">
      <c r="A17" s="80"/>
      <c r="B17" s="131" t="s">
        <v>208</v>
      </c>
      <c r="C17" s="92"/>
      <c r="D17" s="92"/>
      <c r="E17" s="78"/>
    </row>
    <row r="18" spans="1:5" ht="12.75">
      <c r="A18" s="80"/>
      <c r="B18" s="132" t="s">
        <v>20</v>
      </c>
      <c r="C18" s="92">
        <f>ConvertedTB!O73</f>
        <v>0</v>
      </c>
      <c r="D18" s="92">
        <v>982077</v>
      </c>
      <c r="E18" s="78"/>
    </row>
    <row r="19" spans="1:5" ht="12.75">
      <c r="A19" s="80"/>
      <c r="B19" s="132" t="s">
        <v>21</v>
      </c>
      <c r="C19" s="92">
        <f>ConvertedTB!O74</f>
        <v>0</v>
      </c>
      <c r="D19" s="92">
        <v>488250</v>
      </c>
      <c r="E19" s="78"/>
    </row>
    <row r="20" spans="1:5" ht="12.75">
      <c r="A20" s="80"/>
      <c r="B20" s="132" t="s">
        <v>22</v>
      </c>
      <c r="C20" s="92">
        <f>ConvertedTB!O75</f>
        <v>0</v>
      </c>
      <c r="D20" s="92"/>
      <c r="E20" s="78"/>
    </row>
    <row r="21" spans="1:5" ht="12.75">
      <c r="A21" s="80"/>
      <c r="B21" s="132" t="s">
        <v>67</v>
      </c>
      <c r="C21" s="92">
        <f>ConvertedTB!O76</f>
        <v>0</v>
      </c>
      <c r="D21" s="92"/>
      <c r="E21" s="78"/>
    </row>
    <row r="22" spans="1:5" ht="12.75">
      <c r="A22" s="80"/>
      <c r="B22" s="132" t="s">
        <v>149</v>
      </c>
      <c r="C22" s="92"/>
      <c r="D22" s="92"/>
      <c r="E22" s="78"/>
    </row>
    <row r="23" spans="1:5" ht="12.75">
      <c r="A23" s="80"/>
      <c r="B23" s="132" t="s">
        <v>66</v>
      </c>
      <c r="C23" s="92"/>
      <c r="D23" s="92"/>
      <c r="E23" s="78"/>
    </row>
    <row r="24" spans="1:5" ht="12.75">
      <c r="A24" s="80"/>
      <c r="B24" s="132" t="s">
        <v>221</v>
      </c>
      <c r="C24" s="92"/>
      <c r="D24" s="92"/>
      <c r="E24" s="78"/>
    </row>
    <row r="25" spans="1:5" ht="12.75">
      <c r="A25" s="80"/>
      <c r="B25" s="132" t="s">
        <v>242</v>
      </c>
      <c r="C25" s="92"/>
      <c r="D25" s="92"/>
      <c r="E25" s="78"/>
    </row>
    <row r="26" spans="1:5" ht="12.75">
      <c r="A26" s="80"/>
      <c r="B26" s="132" t="s">
        <v>75</v>
      </c>
      <c r="C26" s="92"/>
      <c r="D26" s="92"/>
      <c r="E26" s="78"/>
    </row>
    <row r="27" spans="1:5" ht="12.75">
      <c r="A27" s="80"/>
      <c r="B27" s="132" t="s">
        <v>562</v>
      </c>
      <c r="C27" s="92">
        <f>ConvertedTB!O84</f>
        <v>0</v>
      </c>
      <c r="D27" s="92"/>
      <c r="E27" s="78"/>
    </row>
    <row r="28" spans="1:5" ht="12.75">
      <c r="A28" s="80"/>
      <c r="B28" s="132" t="s">
        <v>637</v>
      </c>
      <c r="C28" s="91"/>
      <c r="D28" s="92"/>
      <c r="E28" s="78"/>
    </row>
    <row r="29" spans="1:5" ht="12.75">
      <c r="A29" s="80"/>
      <c r="B29" s="133" t="s">
        <v>253</v>
      </c>
      <c r="C29" s="134">
        <f>SUM(C18:C28)</f>
        <v>0</v>
      </c>
      <c r="D29" s="92"/>
      <c r="E29" s="78"/>
    </row>
    <row r="30" spans="1:5" ht="12.75">
      <c r="A30" s="80"/>
      <c r="B30" s="29"/>
      <c r="C30" s="92"/>
      <c r="D30" s="92"/>
      <c r="E30" s="78"/>
    </row>
    <row r="31" spans="1:5" ht="12.75">
      <c r="A31" s="80"/>
      <c r="B31" s="131" t="s">
        <v>254</v>
      </c>
      <c r="C31" s="92"/>
      <c r="D31" s="92"/>
      <c r="E31" s="78"/>
    </row>
    <row r="32" spans="1:7" ht="12.75">
      <c r="A32" s="80"/>
      <c r="B32" s="132" t="s">
        <v>255</v>
      </c>
      <c r="C32" s="92">
        <f>ConvertedTB!O87</f>
        <v>0</v>
      </c>
      <c r="D32" s="92"/>
      <c r="E32" s="78"/>
      <c r="G32" s="81">
        <f>SUM(C14:C32)</f>
        <v>0</v>
      </c>
    </row>
    <row r="33" spans="1:5" ht="12.75">
      <c r="A33" s="80"/>
      <c r="B33" s="132" t="s">
        <v>34</v>
      </c>
      <c r="C33" s="92">
        <f>ConvertedTB!O88</f>
        <v>0</v>
      </c>
      <c r="D33" s="92"/>
      <c r="E33" s="78"/>
    </row>
    <row r="34" spans="1:7" ht="12.75">
      <c r="A34" s="80"/>
      <c r="B34" s="132" t="s">
        <v>35</v>
      </c>
      <c r="C34" s="92">
        <f>ConvertedTB!O89</f>
        <v>0</v>
      </c>
      <c r="D34" s="92"/>
      <c r="E34" s="78"/>
      <c r="G34" s="81"/>
    </row>
    <row r="35" spans="1:5" ht="12.75">
      <c r="A35" s="80"/>
      <c r="B35" s="132" t="s">
        <v>256</v>
      </c>
      <c r="C35" s="91">
        <f>ConvertedTB!O90</f>
        <v>0</v>
      </c>
      <c r="D35" s="92"/>
      <c r="E35" s="78"/>
    </row>
    <row r="36" spans="1:5" ht="12.75">
      <c r="A36" s="80"/>
      <c r="B36" s="133" t="s">
        <v>257</v>
      </c>
      <c r="C36" s="134">
        <f>SUM(C32:C35)</f>
        <v>0</v>
      </c>
      <c r="D36" s="92"/>
      <c r="E36" s="78"/>
    </row>
    <row r="37" spans="1:5" ht="12.75">
      <c r="A37" s="80"/>
      <c r="B37" s="29"/>
      <c r="C37" s="92"/>
      <c r="D37" s="92"/>
      <c r="E37" s="78"/>
    </row>
    <row r="38" spans="1:5" ht="12.75">
      <c r="A38" s="80"/>
      <c r="B38" s="131" t="s">
        <v>208</v>
      </c>
      <c r="C38" s="92"/>
      <c r="D38" s="92"/>
      <c r="E38" s="78"/>
    </row>
    <row r="39" spans="1:5" ht="12.75">
      <c r="A39" s="80"/>
      <c r="B39" s="132" t="s">
        <v>98</v>
      </c>
      <c r="C39" s="92">
        <f>ConvertedTB!O93</f>
        <v>0</v>
      </c>
      <c r="D39" s="92"/>
      <c r="E39" s="78"/>
    </row>
    <row r="40" spans="1:5" ht="12.75">
      <c r="A40" s="80"/>
      <c r="B40" s="132" t="s">
        <v>698</v>
      </c>
      <c r="C40" s="92">
        <f>ConvertedTB!O91</f>
        <v>0</v>
      </c>
      <c r="D40" s="92"/>
      <c r="E40" s="78"/>
    </row>
    <row r="41" spans="1:5" ht="12.75">
      <c r="A41" s="80"/>
      <c r="B41" s="132" t="s">
        <v>208</v>
      </c>
      <c r="C41" s="91">
        <f>ConvertedTB!O92</f>
        <v>0</v>
      </c>
      <c r="D41" s="92"/>
      <c r="E41" s="78"/>
    </row>
    <row r="42" spans="1:5" ht="12.75">
      <c r="A42" s="80"/>
      <c r="B42" s="133" t="s">
        <v>258</v>
      </c>
      <c r="C42" s="134">
        <f>+C41+C40+C39</f>
        <v>0</v>
      </c>
      <c r="D42" s="92"/>
      <c r="E42" s="78"/>
    </row>
    <row r="43" spans="1:5" ht="12.75">
      <c r="A43" s="80"/>
      <c r="B43" s="29"/>
      <c r="C43" s="92"/>
      <c r="D43" s="92"/>
      <c r="E43" s="78"/>
    </row>
    <row r="44" spans="1:5" ht="12.75">
      <c r="A44" s="80"/>
      <c r="B44" s="130" t="s">
        <v>259</v>
      </c>
      <c r="C44" s="137">
        <f>C15+C29+C36+C42</f>
        <v>0</v>
      </c>
      <c r="D44" s="92"/>
      <c r="E44" s="78"/>
    </row>
    <row r="45" spans="1:5" ht="12.75">
      <c r="A45" s="80"/>
      <c r="B45" s="29"/>
      <c r="C45" s="92"/>
      <c r="D45" s="92"/>
      <c r="E45" s="78"/>
    </row>
    <row r="46" spans="2:5" ht="12.75">
      <c r="B46" s="80" t="s">
        <v>93</v>
      </c>
      <c r="C46" s="92"/>
      <c r="D46" s="92"/>
      <c r="E46" s="78"/>
    </row>
    <row r="47" spans="1:5" ht="12.75">
      <c r="A47" s="80"/>
      <c r="B47" s="131" t="s">
        <v>260</v>
      </c>
      <c r="C47" s="92"/>
      <c r="D47" s="92"/>
      <c r="E47" s="78"/>
    </row>
    <row r="48" spans="1:5" ht="12.75">
      <c r="A48" s="80"/>
      <c r="B48" s="132" t="s">
        <v>28</v>
      </c>
      <c r="C48" s="92">
        <f>ConvertedTB!O94</f>
        <v>85298.00000000006</v>
      </c>
      <c r="D48" s="92"/>
      <c r="E48" s="78"/>
    </row>
    <row r="49" spans="1:5" ht="12.75">
      <c r="A49" s="80"/>
      <c r="B49" s="132" t="s">
        <v>243</v>
      </c>
      <c r="C49" s="91">
        <v>0</v>
      </c>
      <c r="D49" s="92"/>
      <c r="E49" s="78"/>
    </row>
    <row r="50" spans="1:5" ht="12.75">
      <c r="A50" s="80"/>
      <c r="B50" s="133" t="s">
        <v>261</v>
      </c>
      <c r="C50" s="134">
        <f>SUM(C48:C49)</f>
        <v>85298.00000000006</v>
      </c>
      <c r="D50" s="92"/>
      <c r="E50" s="78"/>
    </row>
    <row r="51" spans="1:5" ht="12.75">
      <c r="A51" s="80"/>
      <c r="B51" s="132"/>
      <c r="C51" s="92"/>
      <c r="D51" s="92"/>
      <c r="E51" s="78"/>
    </row>
    <row r="52" spans="1:5" ht="12.75">
      <c r="A52" s="80"/>
      <c r="B52" s="131" t="s">
        <v>262</v>
      </c>
      <c r="C52" s="92"/>
      <c r="D52" s="92"/>
      <c r="E52" s="78"/>
    </row>
    <row r="53" spans="1:5" ht="12.75">
      <c r="A53" s="80"/>
      <c r="B53" s="132" t="s">
        <v>27</v>
      </c>
      <c r="C53" s="92">
        <f>ConvertedTB!O96</f>
        <v>0</v>
      </c>
      <c r="D53" s="92"/>
      <c r="E53" s="78"/>
    </row>
    <row r="54" spans="1:5" ht="12.75">
      <c r="A54" s="80"/>
      <c r="B54" s="132" t="s">
        <v>263</v>
      </c>
      <c r="C54" s="91">
        <f>ConvertedTB!O97</f>
        <v>0</v>
      </c>
      <c r="D54" s="92"/>
      <c r="E54" s="78"/>
    </row>
    <row r="55" spans="1:5" ht="12.75">
      <c r="A55" s="80"/>
      <c r="B55" s="133" t="s">
        <v>264</v>
      </c>
      <c r="C55" s="134">
        <f>SUM(C53:C54)</f>
        <v>0</v>
      </c>
      <c r="D55" s="92"/>
      <c r="E55" s="78"/>
    </row>
    <row r="56" spans="1:5" ht="12.75">
      <c r="A56" s="80"/>
      <c r="B56" s="132"/>
      <c r="C56" s="92"/>
      <c r="D56" s="92"/>
      <c r="E56" s="78"/>
    </row>
    <row r="57" spans="1:5" ht="12.75">
      <c r="A57" s="80"/>
      <c r="B57" s="131" t="s">
        <v>265</v>
      </c>
      <c r="C57" s="92"/>
      <c r="D57" s="92"/>
      <c r="E57" s="78"/>
    </row>
    <row r="58" spans="1:5" ht="12.75">
      <c r="A58" s="80"/>
      <c r="B58" s="132" t="s">
        <v>216</v>
      </c>
      <c r="C58" s="92">
        <f>ConvertedTB!O98</f>
        <v>0</v>
      </c>
      <c r="D58" s="92"/>
      <c r="E58" s="78"/>
    </row>
    <row r="59" spans="1:5" ht="12.75">
      <c r="A59" s="80"/>
      <c r="B59" s="132" t="s">
        <v>56</v>
      </c>
      <c r="C59" s="92">
        <f>ConvertedTB!O99</f>
        <v>0</v>
      </c>
      <c r="D59" s="92"/>
      <c r="E59" s="78"/>
    </row>
    <row r="60" spans="1:5" ht="12.75">
      <c r="A60" s="80"/>
      <c r="B60" s="132" t="s">
        <v>217</v>
      </c>
      <c r="C60" s="92">
        <f>ConvertedTB!O100</f>
        <v>0</v>
      </c>
      <c r="D60" s="92"/>
      <c r="E60" s="78"/>
    </row>
    <row r="61" spans="1:5" ht="12.75">
      <c r="A61" s="80"/>
      <c r="B61" s="132" t="s">
        <v>164</v>
      </c>
      <c r="C61" s="92">
        <f>ConvertedTB!O101</f>
        <v>0</v>
      </c>
      <c r="D61" s="92"/>
      <c r="E61" s="78"/>
    </row>
    <row r="62" spans="1:5" ht="12.75">
      <c r="A62" s="80"/>
      <c r="B62" s="132" t="s">
        <v>705</v>
      </c>
      <c r="C62" s="92">
        <f>ConvertedTB!O102</f>
        <v>0</v>
      </c>
      <c r="D62" s="92"/>
      <c r="E62" s="78"/>
    </row>
    <row r="63" spans="1:5" ht="12.75">
      <c r="A63" s="80"/>
      <c r="B63" s="132" t="s">
        <v>239</v>
      </c>
      <c r="C63" s="92">
        <f>ConvertedTB!O103</f>
        <v>0</v>
      </c>
      <c r="D63" s="92"/>
      <c r="E63" s="78"/>
    </row>
    <row r="64" spans="1:5" ht="12.75">
      <c r="A64" s="80"/>
      <c r="B64" s="132" t="s">
        <v>706</v>
      </c>
      <c r="C64" s="92">
        <f>ConvertedTB!O104</f>
        <v>0</v>
      </c>
      <c r="D64" s="92"/>
      <c r="E64" s="78"/>
    </row>
    <row r="65" spans="1:5" ht="12.75">
      <c r="A65" s="80"/>
      <c r="B65" s="132" t="s">
        <v>707</v>
      </c>
      <c r="C65" s="92">
        <f>ConvertedTB!O105</f>
        <v>0</v>
      </c>
      <c r="D65" s="92"/>
      <c r="E65" s="78"/>
    </row>
    <row r="66" spans="1:5" ht="12.75">
      <c r="A66" s="80"/>
      <c r="B66" s="132" t="s">
        <v>708</v>
      </c>
      <c r="C66" s="92">
        <f>ConvertedTB!O106</f>
        <v>0</v>
      </c>
      <c r="D66" s="92"/>
      <c r="E66" s="78"/>
    </row>
    <row r="67" spans="1:5" ht="12.75">
      <c r="A67" s="80"/>
      <c r="B67" s="132" t="s">
        <v>241</v>
      </c>
      <c r="C67" s="92">
        <f>ConvertedTB!O107</f>
        <v>0</v>
      </c>
      <c r="D67" s="92"/>
      <c r="E67" s="78"/>
    </row>
    <row r="68" spans="1:5" ht="12.75">
      <c r="A68" s="80"/>
      <c r="B68" s="132" t="s">
        <v>166</v>
      </c>
      <c r="C68" s="92">
        <f>ConvertedTB!O108</f>
        <v>0</v>
      </c>
      <c r="D68" s="92"/>
      <c r="E68" s="78"/>
    </row>
    <row r="69" spans="1:5" ht="12.75">
      <c r="A69" s="80"/>
      <c r="B69" s="133" t="s">
        <v>266</v>
      </c>
      <c r="C69" s="488">
        <f>SUM(C58:C68)</f>
        <v>0</v>
      </c>
      <c r="D69" s="92"/>
      <c r="E69" s="78"/>
    </row>
    <row r="70" spans="1:5" ht="12.75">
      <c r="A70" s="80"/>
      <c r="B70" s="132"/>
      <c r="C70" s="92"/>
      <c r="D70" s="92"/>
      <c r="E70" s="78"/>
    </row>
    <row r="71" spans="1:5" ht="12.75">
      <c r="A71" s="80"/>
      <c r="B71" s="131" t="s">
        <v>267</v>
      </c>
      <c r="C71" s="92"/>
      <c r="D71" s="92"/>
      <c r="E71" s="78"/>
    </row>
    <row r="72" spans="1:7" ht="12.75">
      <c r="A72" s="80"/>
      <c r="B72" s="132" t="s">
        <v>37</v>
      </c>
      <c r="C72" s="92">
        <f>ConvertedTB!O109</f>
        <v>0</v>
      </c>
      <c r="D72" s="92"/>
      <c r="E72" s="78"/>
      <c r="G72" s="81"/>
    </row>
    <row r="73" spans="1:7" ht="12.75">
      <c r="A73" s="80"/>
      <c r="B73" s="132" t="s">
        <v>43</v>
      </c>
      <c r="C73" s="92">
        <f>ConvertedTB!O110</f>
        <v>0</v>
      </c>
      <c r="D73" s="92"/>
      <c r="E73" s="78"/>
      <c r="G73" s="81"/>
    </row>
    <row r="74" spans="1:7" ht="12.75">
      <c r="A74" s="80"/>
      <c r="B74" s="132" t="s">
        <v>709</v>
      </c>
      <c r="C74" s="91">
        <f>ConvertedTB!O111</f>
        <v>0</v>
      </c>
      <c r="D74" s="92"/>
      <c r="E74" s="78"/>
      <c r="G74" s="81"/>
    </row>
    <row r="75" spans="1:7" ht="12.75">
      <c r="A75" s="80"/>
      <c r="B75" s="133" t="s">
        <v>268</v>
      </c>
      <c r="C75" s="134">
        <f>SUM(C72:C74)</f>
        <v>0</v>
      </c>
      <c r="D75" s="92"/>
      <c r="E75" s="78"/>
      <c r="G75" s="81"/>
    </row>
    <row r="76" spans="1:7" ht="12.75">
      <c r="A76" s="80"/>
      <c r="B76" s="132"/>
      <c r="C76" s="92"/>
      <c r="D76" s="92"/>
      <c r="E76" s="78"/>
      <c r="G76" s="81"/>
    </row>
    <row r="77" spans="1:7" ht="12.75">
      <c r="A77" s="80"/>
      <c r="B77" s="131" t="s">
        <v>269</v>
      </c>
      <c r="C77" s="92"/>
      <c r="D77" s="92"/>
      <c r="E77" s="78"/>
      <c r="G77" s="81"/>
    </row>
    <row r="78" spans="1:7" ht="12.75">
      <c r="A78" s="80"/>
      <c r="B78" s="132" t="s">
        <v>29</v>
      </c>
      <c r="C78" s="92">
        <f>ConvertedTB!O112</f>
        <v>0</v>
      </c>
      <c r="D78" s="92"/>
      <c r="E78" s="78"/>
      <c r="G78" s="81"/>
    </row>
    <row r="79" spans="1:7" ht="12.75">
      <c r="A79" s="80"/>
      <c r="B79" s="132" t="s">
        <v>195</v>
      </c>
      <c r="C79" s="92"/>
      <c r="D79" s="92"/>
      <c r="E79" s="78"/>
      <c r="G79" s="81"/>
    </row>
    <row r="80" spans="1:5" ht="12.75">
      <c r="A80" s="80"/>
      <c r="B80" s="136" t="s">
        <v>270</v>
      </c>
      <c r="C80" s="92">
        <f>ConvertedTB!O113</f>
        <v>0</v>
      </c>
      <c r="D80" s="92"/>
      <c r="E80" s="78"/>
    </row>
    <row r="81" spans="1:5" ht="12.75">
      <c r="A81" s="80"/>
      <c r="B81" s="136" t="s">
        <v>271</v>
      </c>
      <c r="C81" s="92">
        <f>ConvertedTB!O114</f>
        <v>0</v>
      </c>
      <c r="D81" s="92"/>
      <c r="E81" s="78"/>
    </row>
    <row r="82" spans="1:5" ht="12.75" customHeight="1">
      <c r="A82" s="80"/>
      <c r="B82" s="132" t="s">
        <v>171</v>
      </c>
      <c r="C82" s="92">
        <f>ConvertedTB!O115</f>
        <v>0</v>
      </c>
      <c r="D82" s="92"/>
      <c r="E82" s="78"/>
    </row>
    <row r="83" spans="1:5" ht="12.75">
      <c r="A83" s="80"/>
      <c r="B83" s="132" t="s">
        <v>51</v>
      </c>
      <c r="C83" s="91">
        <f>ConvertedTB!O116</f>
        <v>0</v>
      </c>
      <c r="D83" s="92"/>
      <c r="E83" s="78"/>
    </row>
    <row r="84" spans="1:5" ht="12.75">
      <c r="A84" s="80"/>
      <c r="B84" s="133" t="s">
        <v>272</v>
      </c>
      <c r="C84" s="134">
        <f>SUM(C78:C83)</f>
        <v>0</v>
      </c>
      <c r="D84" s="92"/>
      <c r="E84" s="78"/>
    </row>
    <row r="85" spans="1:5" ht="12.75">
      <c r="A85" s="80"/>
      <c r="B85" s="132"/>
      <c r="C85" s="92"/>
      <c r="D85" s="92"/>
      <c r="E85" s="78"/>
    </row>
    <row r="86" spans="1:5" ht="12.75">
      <c r="A86" s="80"/>
      <c r="B86" s="131" t="s">
        <v>273</v>
      </c>
      <c r="C86" s="92"/>
      <c r="D86" s="92"/>
      <c r="E86" s="78"/>
    </row>
    <row r="87" spans="1:5" ht="12.75" customHeight="1">
      <c r="A87" s="80"/>
      <c r="B87" s="132" t="s">
        <v>193</v>
      </c>
      <c r="C87" s="91">
        <f>ConvertedTB!O118</f>
        <v>3.637978807091713E-12</v>
      </c>
      <c r="D87" s="92"/>
      <c r="E87" s="78"/>
    </row>
    <row r="88" spans="1:5" ht="12.75" customHeight="1">
      <c r="A88" s="80"/>
      <c r="B88" s="133" t="s">
        <v>274</v>
      </c>
      <c r="C88" s="134">
        <f>+C87</f>
        <v>3.637978807091713E-12</v>
      </c>
      <c r="D88" s="92"/>
      <c r="E88" s="78"/>
    </row>
    <row r="89" spans="1:5" ht="12.75" customHeight="1">
      <c r="A89" s="80"/>
      <c r="B89" s="132"/>
      <c r="C89" s="92"/>
      <c r="D89" s="92"/>
      <c r="E89" s="78"/>
    </row>
    <row r="90" spans="1:5" ht="12.75" customHeight="1">
      <c r="A90" s="80"/>
      <c r="B90" s="131" t="s">
        <v>275</v>
      </c>
      <c r="C90" s="92"/>
      <c r="D90" s="92"/>
      <c r="E90" s="78"/>
    </row>
    <row r="91" spans="1:5" ht="12.75" customHeight="1">
      <c r="A91" s="80"/>
      <c r="B91" s="132" t="s">
        <v>71</v>
      </c>
      <c r="C91" s="92">
        <f>ConvertedTB!O119</f>
        <v>0</v>
      </c>
      <c r="D91" s="92"/>
      <c r="E91" s="78"/>
    </row>
    <row r="92" spans="1:5" ht="12.75">
      <c r="A92" s="80"/>
      <c r="B92" s="132" t="s">
        <v>72</v>
      </c>
      <c r="C92" s="92">
        <f>ConvertedTB!O122</f>
        <v>192692.65</v>
      </c>
      <c r="D92" s="92"/>
      <c r="E92" s="78"/>
    </row>
    <row r="93" spans="1:5" ht="12.75">
      <c r="A93" s="80"/>
      <c r="B93" s="132" t="s">
        <v>180</v>
      </c>
      <c r="C93" s="91">
        <f>ConvertedTB!O124</f>
        <v>0</v>
      </c>
      <c r="D93" s="92"/>
      <c r="E93" s="78"/>
    </row>
    <row r="94" spans="1:5" ht="12.75">
      <c r="A94" s="80"/>
      <c r="B94" s="133" t="s">
        <v>276</v>
      </c>
      <c r="C94" s="134">
        <f>SUM(C91:C93)</f>
        <v>192692.65</v>
      </c>
      <c r="D94" s="92"/>
      <c r="E94" s="78"/>
    </row>
    <row r="95" spans="1:5" ht="12.75">
      <c r="A95" s="80"/>
      <c r="B95" s="132"/>
      <c r="C95" s="92"/>
      <c r="D95" s="92"/>
      <c r="E95" s="78"/>
    </row>
    <row r="96" spans="1:5" ht="12.75">
      <c r="A96" s="80"/>
      <c r="B96" s="131" t="s">
        <v>277</v>
      </c>
      <c r="C96" s="92"/>
      <c r="D96" s="92"/>
      <c r="E96" s="78"/>
    </row>
    <row r="97" spans="1:5" ht="12.75">
      <c r="A97" s="80"/>
      <c r="B97" s="132" t="s">
        <v>184</v>
      </c>
      <c r="C97" s="92">
        <f>ConvertedTB!O123</f>
        <v>0</v>
      </c>
      <c r="D97" s="92">
        <v>309750</v>
      </c>
      <c r="E97" s="78"/>
    </row>
    <row r="98" spans="1:5" ht="12.75">
      <c r="A98" s="80"/>
      <c r="B98" s="132" t="s">
        <v>219</v>
      </c>
      <c r="C98" s="92">
        <f>ConvertedTB!O127</f>
        <v>0</v>
      </c>
      <c r="D98" s="92"/>
      <c r="E98" s="78"/>
    </row>
    <row r="99" spans="1:5" ht="12.75">
      <c r="A99" s="80"/>
      <c r="B99" s="132" t="s">
        <v>220</v>
      </c>
      <c r="C99" s="92">
        <f>ConvertedTB!O128</f>
        <v>0</v>
      </c>
      <c r="D99" s="92"/>
      <c r="E99" s="78"/>
    </row>
    <row r="100" spans="1:5" ht="12.75" customHeight="1">
      <c r="A100" s="80"/>
      <c r="B100" s="132" t="s">
        <v>584</v>
      </c>
      <c r="C100" s="92">
        <v>0</v>
      </c>
      <c r="D100" s="92">
        <v>566200</v>
      </c>
      <c r="E100" s="78"/>
    </row>
    <row r="101" spans="1:7" ht="12.75">
      <c r="A101" s="80"/>
      <c r="B101" s="132" t="s">
        <v>229</v>
      </c>
      <c r="C101" s="92">
        <f>ConvertedTB!O131</f>
        <v>16500</v>
      </c>
      <c r="D101" s="92"/>
      <c r="E101" s="78"/>
      <c r="G101" s="81"/>
    </row>
    <row r="102" spans="1:7" ht="12.75">
      <c r="A102" s="80"/>
      <c r="B102" s="132" t="s">
        <v>587</v>
      </c>
      <c r="C102" s="91">
        <v>0</v>
      </c>
      <c r="D102" s="92"/>
      <c r="E102" s="78"/>
      <c r="G102" s="81"/>
    </row>
    <row r="103" spans="1:7" ht="12.75">
      <c r="A103" s="80"/>
      <c r="B103" s="133" t="s">
        <v>278</v>
      </c>
      <c r="C103" s="134">
        <f>SUM(C97:C102)</f>
        <v>16500</v>
      </c>
      <c r="D103" s="92"/>
      <c r="E103" s="78"/>
      <c r="G103" s="81"/>
    </row>
    <row r="104" spans="1:7" ht="12.75">
      <c r="A104" s="80"/>
      <c r="B104" s="132"/>
      <c r="C104" s="92"/>
      <c r="D104" s="92"/>
      <c r="E104" s="78"/>
      <c r="G104" s="81"/>
    </row>
    <row r="105" spans="1:7" ht="12.75">
      <c r="A105" s="80"/>
      <c r="B105" s="131" t="s">
        <v>279</v>
      </c>
      <c r="C105" s="92"/>
      <c r="D105" s="92"/>
      <c r="E105" s="78"/>
      <c r="G105" s="81"/>
    </row>
    <row r="106" spans="1:7" ht="12.75">
      <c r="A106" s="80"/>
      <c r="B106" s="132" t="s">
        <v>233</v>
      </c>
      <c r="C106" s="91">
        <f>ConvertedTB!O134</f>
        <v>113013.18999999762</v>
      </c>
      <c r="D106" s="92"/>
      <c r="E106" s="78"/>
      <c r="G106" s="81"/>
    </row>
    <row r="107" spans="1:7" ht="12.75">
      <c r="A107" s="80"/>
      <c r="B107" s="133" t="s">
        <v>280</v>
      </c>
      <c r="C107" s="134">
        <f>+C106</f>
        <v>113013.18999999762</v>
      </c>
      <c r="D107" s="92"/>
      <c r="E107" s="78"/>
      <c r="G107" s="81"/>
    </row>
    <row r="108" spans="1:7" ht="12.75">
      <c r="A108" s="80"/>
      <c r="B108" s="132"/>
      <c r="C108" s="92"/>
      <c r="D108" s="92"/>
      <c r="E108" s="78"/>
      <c r="G108" s="81"/>
    </row>
    <row r="109" spans="1:7" ht="12.75">
      <c r="A109" s="80"/>
      <c r="B109" s="131" t="s">
        <v>281</v>
      </c>
      <c r="C109" s="92"/>
      <c r="D109" s="92"/>
      <c r="E109" s="78"/>
      <c r="G109" s="81"/>
    </row>
    <row r="110" spans="1:7" ht="12.75">
      <c r="A110" s="80"/>
      <c r="B110" s="132" t="s">
        <v>69</v>
      </c>
      <c r="C110" s="92">
        <f>ConvertedTB!O135</f>
        <v>0</v>
      </c>
      <c r="D110" s="92"/>
      <c r="E110" s="78"/>
      <c r="G110" s="81"/>
    </row>
    <row r="111" spans="1:7" ht="12.75">
      <c r="A111" s="80"/>
      <c r="B111" s="132" t="s">
        <v>211</v>
      </c>
      <c r="C111" s="92">
        <f>ConvertedTB!O136</f>
        <v>0</v>
      </c>
      <c r="D111" s="92"/>
      <c r="E111" s="78"/>
      <c r="G111" s="81"/>
    </row>
    <row r="112" spans="1:7" ht="12.75">
      <c r="A112" s="80"/>
      <c r="B112" s="132" t="s">
        <v>73</v>
      </c>
      <c r="C112" s="91">
        <f>ConvertedTB!O138</f>
        <v>1.4551915228366852E-11</v>
      </c>
      <c r="D112" s="92"/>
      <c r="E112" s="78"/>
      <c r="G112" s="81"/>
    </row>
    <row r="113" spans="1:7" ht="12.75">
      <c r="A113" s="80"/>
      <c r="B113" s="131" t="s">
        <v>282</v>
      </c>
      <c r="C113" s="134">
        <f>SUM(C110:C112)</f>
        <v>1.4551915228366852E-11</v>
      </c>
      <c r="D113" s="92"/>
      <c r="E113" s="78"/>
      <c r="G113" s="81"/>
    </row>
    <row r="114" spans="1:7" ht="12.75">
      <c r="A114" s="80"/>
      <c r="B114" s="132"/>
      <c r="C114" s="92"/>
      <c r="D114" s="92"/>
      <c r="E114" s="78"/>
      <c r="G114" s="81"/>
    </row>
    <row r="115" spans="1:7" ht="12.75">
      <c r="A115" s="80"/>
      <c r="B115" s="131" t="s">
        <v>23</v>
      </c>
      <c r="C115" s="92"/>
      <c r="D115" s="92"/>
      <c r="E115" s="78"/>
      <c r="G115" s="81"/>
    </row>
    <row r="116" spans="1:7" ht="12.75">
      <c r="A116" s="80"/>
      <c r="B116" s="132" t="s">
        <v>38</v>
      </c>
      <c r="C116" s="92">
        <f>ConvertedTB!O139</f>
        <v>0</v>
      </c>
      <c r="D116" s="92"/>
      <c r="E116" s="78"/>
      <c r="G116" s="81"/>
    </row>
    <row r="117" spans="1:7" ht="12.75">
      <c r="A117" s="80"/>
      <c r="B117" s="132" t="s">
        <v>62</v>
      </c>
      <c r="C117" s="92">
        <f>ConvertedTB!O140</f>
        <v>0</v>
      </c>
      <c r="D117" s="92"/>
      <c r="E117" s="78"/>
      <c r="G117" s="81"/>
    </row>
    <row r="118" spans="1:7" ht="12.75">
      <c r="A118" s="80"/>
      <c r="B118" s="132" t="s">
        <v>63</v>
      </c>
      <c r="C118" s="92">
        <f>ConvertedTB!O141</f>
        <v>0</v>
      </c>
      <c r="D118" s="92"/>
      <c r="E118" s="78"/>
      <c r="G118" s="81"/>
    </row>
    <row r="119" spans="1:7" ht="12.75">
      <c r="A119" s="80"/>
      <c r="B119" s="132" t="s">
        <v>710</v>
      </c>
      <c r="C119" s="92">
        <f>ConvertedTB!O143</f>
        <v>0</v>
      </c>
      <c r="D119" s="92"/>
      <c r="E119" s="78"/>
      <c r="G119" s="81"/>
    </row>
    <row r="120" spans="1:7" ht="12.75">
      <c r="A120" s="80"/>
      <c r="B120" s="132" t="s">
        <v>711</v>
      </c>
      <c r="C120" s="92">
        <f>ConvertedTB!O144</f>
        <v>0</v>
      </c>
      <c r="D120" s="92"/>
      <c r="E120" s="78"/>
      <c r="G120" s="81"/>
    </row>
    <row r="121" spans="1:5" ht="12.75">
      <c r="A121" s="80"/>
      <c r="B121" s="132" t="s">
        <v>23</v>
      </c>
      <c r="C121" s="91">
        <f>ConvertedTB!O147</f>
        <v>-164092.65000000002</v>
      </c>
      <c r="D121" s="92"/>
      <c r="E121" s="78"/>
    </row>
    <row r="122" spans="1:5" ht="12.75">
      <c r="A122" s="80"/>
      <c r="B122" s="131" t="s">
        <v>283</v>
      </c>
      <c r="C122" s="134">
        <f>SUM(C116:C121)</f>
        <v>-164092.65000000002</v>
      </c>
      <c r="D122" s="92"/>
      <c r="E122" s="78"/>
    </row>
    <row r="123" spans="1:5" ht="12.75">
      <c r="A123" s="80"/>
      <c r="B123" s="132"/>
      <c r="C123" s="92"/>
      <c r="D123" s="92"/>
      <c r="E123" s="78"/>
    </row>
    <row r="124" spans="1:5" ht="12.75">
      <c r="A124" s="80"/>
      <c r="B124" s="131" t="s">
        <v>284</v>
      </c>
      <c r="C124" s="92"/>
      <c r="D124" s="92"/>
      <c r="E124" s="78"/>
    </row>
    <row r="125" spans="1:7" ht="12.75">
      <c r="A125" s="80"/>
      <c r="B125" s="132" t="s">
        <v>245</v>
      </c>
      <c r="C125" s="91">
        <f>ConvertedTB!O148</f>
        <v>0</v>
      </c>
      <c r="D125" s="92">
        <v>124944.7</v>
      </c>
      <c r="E125" s="78"/>
      <c r="G125" s="81">
        <f>SUM(C33:C125)</f>
        <v>486822.37999999535</v>
      </c>
    </row>
    <row r="126" spans="1:7" ht="12.75">
      <c r="A126" s="80"/>
      <c r="B126" s="133" t="s">
        <v>286</v>
      </c>
      <c r="C126" s="134">
        <f>+C125</f>
        <v>0</v>
      </c>
      <c r="D126" s="92"/>
      <c r="E126" s="78"/>
      <c r="G126" s="81"/>
    </row>
    <row r="127" spans="1:7" ht="12.75">
      <c r="A127" s="80"/>
      <c r="B127" s="132"/>
      <c r="C127" s="92"/>
      <c r="D127" s="92"/>
      <c r="E127" s="78"/>
      <c r="G127" s="81"/>
    </row>
    <row r="128" spans="1:7" ht="12.75">
      <c r="A128" s="80"/>
      <c r="B128" s="80" t="s">
        <v>544</v>
      </c>
      <c r="C128" s="137">
        <f>C50+C55+C69+C75+C84+C88+C94+C103+C107+C113+C122+C126</f>
        <v>243411.18999999762</v>
      </c>
      <c r="D128" s="92"/>
      <c r="E128" s="78"/>
      <c r="G128" s="81"/>
    </row>
    <row r="129" spans="1:8" ht="12.75">
      <c r="A129" s="3"/>
      <c r="B129" s="3"/>
      <c r="C129" s="82"/>
      <c r="D129" s="83"/>
      <c r="E129" s="79"/>
      <c r="F129" s="3"/>
      <c r="G129" s="84"/>
      <c r="H129" s="83"/>
    </row>
    <row r="130" spans="1:8" ht="12.75">
      <c r="A130" s="3"/>
      <c r="B130" s="80" t="s">
        <v>289</v>
      </c>
      <c r="C130" s="82">
        <f>+C128+C44</f>
        <v>243411.18999999762</v>
      </c>
      <c r="D130" s="83"/>
      <c r="E130" s="79"/>
      <c r="F130" s="3"/>
      <c r="G130" s="84"/>
      <c r="H130" s="83"/>
    </row>
    <row r="131" spans="1:8" ht="8.25" customHeight="1">
      <c r="A131" s="3"/>
      <c r="B131" s="80"/>
      <c r="C131" s="82"/>
      <c r="D131" s="83"/>
      <c r="E131" s="79"/>
      <c r="F131" s="3"/>
      <c r="G131" s="84"/>
      <c r="H131" s="83"/>
    </row>
    <row r="132" spans="1:8" ht="12.75">
      <c r="A132" s="3"/>
      <c r="B132" s="80" t="s">
        <v>290</v>
      </c>
      <c r="C132" s="82">
        <f>+-C130</f>
        <v>-243411.18999999762</v>
      </c>
      <c r="D132" s="83"/>
      <c r="E132" s="79"/>
      <c r="F132" s="3"/>
      <c r="G132" s="84"/>
      <c r="H132" s="83"/>
    </row>
    <row r="133" spans="1:8" ht="10.5" customHeight="1">
      <c r="A133" s="3"/>
      <c r="B133" s="80"/>
      <c r="C133" s="82"/>
      <c r="D133" s="83"/>
      <c r="E133" s="79"/>
      <c r="F133" s="3"/>
      <c r="G133" s="84"/>
      <c r="H133" s="83"/>
    </row>
    <row r="134" spans="1:8" ht="12.75" customHeight="1">
      <c r="A134" s="553" t="s">
        <v>291</v>
      </c>
      <c r="B134" s="553"/>
      <c r="C134" s="138"/>
      <c r="D134" s="138"/>
      <c r="E134" s="138"/>
      <c r="F134" s="138"/>
      <c r="G134" s="77"/>
      <c r="H134" s="83"/>
    </row>
    <row r="135" spans="1:8" ht="12.75" customHeight="1">
      <c r="A135" s="139"/>
      <c r="B135" s="143" t="s">
        <v>142</v>
      </c>
      <c r="C135" s="142">
        <f>ConvertedTB!P68</f>
        <v>3.725290298461914E-09</v>
      </c>
      <c r="D135" s="138"/>
      <c r="E135" s="138"/>
      <c r="F135" s="138"/>
      <c r="G135" s="77"/>
      <c r="H135" s="83"/>
    </row>
    <row r="136" spans="1:8" ht="12.75" customHeight="1">
      <c r="A136" s="139"/>
      <c r="B136" s="143" t="s">
        <v>673</v>
      </c>
      <c r="C136" s="142">
        <f>ConvertedTB!P69</f>
        <v>0</v>
      </c>
      <c r="D136" s="138"/>
      <c r="E136" s="138"/>
      <c r="F136" s="138"/>
      <c r="G136" s="77"/>
      <c r="H136" s="83"/>
    </row>
    <row r="137" spans="1:8" ht="7.5" customHeight="1">
      <c r="A137" s="139"/>
      <c r="B137" s="140"/>
      <c r="C137" s="141"/>
      <c r="D137" s="138"/>
      <c r="E137" s="138"/>
      <c r="F137" s="138"/>
      <c r="G137" s="77"/>
      <c r="H137" s="83"/>
    </row>
    <row r="138" spans="1:8" ht="12.75">
      <c r="A138" s="3"/>
      <c r="B138" s="80" t="s">
        <v>292</v>
      </c>
      <c r="C138" s="145">
        <f>+C135+C136</f>
        <v>3.725290298461914E-09</v>
      </c>
      <c r="D138" s="83"/>
      <c r="E138" s="79"/>
      <c r="F138" s="3"/>
      <c r="G138" s="84"/>
      <c r="H138" s="83"/>
    </row>
    <row r="139" spans="1:8" ht="22.5" customHeight="1" thickBot="1">
      <c r="A139" s="80" t="s">
        <v>293</v>
      </c>
      <c r="B139" s="3"/>
      <c r="C139" s="144">
        <f>+C132+C138</f>
        <v>-243411.1899999939</v>
      </c>
      <c r="D139" s="83"/>
      <c r="E139" s="95"/>
      <c r="F139" s="3"/>
      <c r="G139" s="85"/>
      <c r="H139" s="83"/>
    </row>
    <row r="140" spans="1:8" ht="15.75" customHeight="1" thickTop="1">
      <c r="A140" s="2"/>
      <c r="B140" s="2"/>
      <c r="C140" s="83"/>
      <c r="D140" s="83"/>
      <c r="E140" s="86"/>
      <c r="F140" s="3"/>
      <c r="G140" s="85"/>
      <c r="H140" s="83"/>
    </row>
    <row r="141" spans="1:8" ht="10.5" customHeight="1">
      <c r="A141" s="2"/>
      <c r="B141" s="2"/>
      <c r="C141" s="83"/>
      <c r="D141" s="83"/>
      <c r="E141" s="86"/>
      <c r="F141" s="3"/>
      <c r="G141" s="85"/>
      <c r="H141" s="83"/>
    </row>
    <row r="142" spans="1:5" ht="12.75">
      <c r="A142" s="16" t="s">
        <v>25</v>
      </c>
      <c r="C142" s="1" t="s">
        <v>55</v>
      </c>
      <c r="D142" s="78"/>
      <c r="E142" s="78"/>
    </row>
    <row r="143" spans="1:5" ht="12.75">
      <c r="A143" s="16"/>
      <c r="C143" s="99"/>
      <c r="D143" s="87"/>
      <c r="E143" s="87"/>
    </row>
    <row r="144" spans="1:5" ht="12.75">
      <c r="A144" s="16"/>
      <c r="C144" s="100"/>
      <c r="D144" s="16"/>
      <c r="E144" s="16"/>
    </row>
    <row r="145" spans="1:5" ht="12.75">
      <c r="A145" s="17" t="s">
        <v>658</v>
      </c>
      <c r="C145" s="20" t="s">
        <v>712</v>
      </c>
      <c r="E145" s="88"/>
    </row>
    <row r="146" spans="1:5" ht="12.75">
      <c r="A146" s="16" t="s">
        <v>210</v>
      </c>
      <c r="C146" s="1" t="s">
        <v>224</v>
      </c>
      <c r="E146" s="88"/>
    </row>
    <row r="147" ht="12.75">
      <c r="A147" s="30"/>
    </row>
  </sheetData>
  <sheetProtection/>
  <mergeCells count="5">
    <mergeCell ref="A1:E1"/>
    <mergeCell ref="A2:E2"/>
    <mergeCell ref="A3:E3"/>
    <mergeCell ref="A4:E4"/>
    <mergeCell ref="A134:B134"/>
  </mergeCells>
  <printOptions horizontalCentered="1"/>
  <pageMargins left="0.25" right="0.25" top="0.75" bottom="0.2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1" customWidth="1"/>
    <col min="2" max="2" width="40.140625" style="1" customWidth="1"/>
    <col min="3" max="3" width="16.28125" style="1" customWidth="1"/>
    <col min="4" max="4" width="1.7109375" style="1" customWidth="1"/>
    <col min="5" max="5" width="16.57421875" style="1" customWidth="1"/>
    <col min="6" max="16384" width="9.140625" style="1" customWidth="1"/>
  </cols>
  <sheetData>
    <row r="1" spans="1:5" ht="12.75">
      <c r="A1" s="551" t="s">
        <v>1</v>
      </c>
      <c r="B1" s="551"/>
      <c r="C1" s="551"/>
      <c r="D1" s="551"/>
      <c r="E1" s="551"/>
    </row>
    <row r="2" spans="1:5" ht="12.75">
      <c r="A2" s="551" t="s">
        <v>599</v>
      </c>
      <c r="B2" s="551"/>
      <c r="C2" s="551"/>
      <c r="D2" s="551"/>
      <c r="E2" s="551"/>
    </row>
    <row r="3" spans="1:5" ht="12.75">
      <c r="A3" s="552" t="s">
        <v>215</v>
      </c>
      <c r="B3" s="552"/>
      <c r="C3" s="552"/>
      <c r="D3" s="552"/>
      <c r="E3" s="552"/>
    </row>
    <row r="4" spans="1:5" ht="12.75">
      <c r="A4" s="552" t="s">
        <v>700</v>
      </c>
      <c r="B4" s="552"/>
      <c r="C4" s="552"/>
      <c r="D4" s="552"/>
      <c r="E4" s="552"/>
    </row>
    <row r="7" ht="12.75">
      <c r="E7" s="94"/>
    </row>
    <row r="8" spans="1:5" ht="12.75">
      <c r="A8" s="2" t="s">
        <v>247</v>
      </c>
      <c r="C8" s="147">
        <v>0</v>
      </c>
      <c r="E8" s="78"/>
    </row>
    <row r="9" spans="3:5" ht="12.75">
      <c r="C9" s="78"/>
      <c r="D9" s="78"/>
      <c r="E9" s="94"/>
    </row>
    <row r="10" spans="3:5" ht="12.75">
      <c r="C10" s="78"/>
      <c r="D10" s="78"/>
      <c r="E10" s="78"/>
    </row>
    <row r="11" spans="1:5" ht="12.75">
      <c r="A11" s="2" t="s">
        <v>294</v>
      </c>
      <c r="C11" s="78"/>
      <c r="D11" s="78"/>
      <c r="E11" s="78"/>
    </row>
    <row r="12" spans="2:5" ht="12.75">
      <c r="B12" s="3" t="s">
        <v>92</v>
      </c>
      <c r="C12" s="92">
        <f>'DetSFPerf 1st Qtr'!C44</f>
        <v>0</v>
      </c>
      <c r="D12" s="79"/>
      <c r="E12" s="78"/>
    </row>
    <row r="13" spans="2:5" ht="12.75">
      <c r="B13" s="3" t="s">
        <v>93</v>
      </c>
      <c r="C13" s="92">
        <f>'DetSFPerf 1st Qtr'!C128</f>
        <v>243411.18999999762</v>
      </c>
      <c r="D13" s="79"/>
      <c r="E13" s="79"/>
    </row>
    <row r="14" spans="2:5" ht="12.75">
      <c r="B14" s="3" t="s">
        <v>284</v>
      </c>
      <c r="C14" s="92">
        <f>'DetSFPerf 1st Qtr'!C126</f>
        <v>0</v>
      </c>
      <c r="D14" s="79"/>
      <c r="E14" s="79"/>
    </row>
    <row r="15" spans="2:5" ht="12.75">
      <c r="B15" s="3" t="s">
        <v>285</v>
      </c>
      <c r="C15" s="91">
        <v>0</v>
      </c>
      <c r="D15" s="79"/>
      <c r="E15" s="79"/>
    </row>
    <row r="16" spans="1:5" ht="21" customHeight="1">
      <c r="A16" s="2" t="s">
        <v>288</v>
      </c>
      <c r="B16" s="2"/>
      <c r="C16" s="148">
        <f>SUM(C12:C15)</f>
        <v>243411.18999999762</v>
      </c>
      <c r="D16" s="2"/>
      <c r="E16" s="95"/>
    </row>
    <row r="17" ht="12.75">
      <c r="E17" s="79"/>
    </row>
    <row r="18" spans="1:5" ht="12.75">
      <c r="A18" s="2" t="s">
        <v>290</v>
      </c>
      <c r="C18" s="149">
        <f>+C8-C16</f>
        <v>-243411.18999999762</v>
      </c>
      <c r="E18" s="78"/>
    </row>
    <row r="19" ht="12.75">
      <c r="E19" s="78"/>
    </row>
    <row r="20" spans="1:5" ht="12.75">
      <c r="A20" s="2" t="s">
        <v>292</v>
      </c>
      <c r="C20" s="91">
        <f>'DetSFPerf 1st Qtr'!C138</f>
        <v>3.725290298461914E-09</v>
      </c>
      <c r="E20" s="78"/>
    </row>
    <row r="21" spans="1:5" ht="13.5" thickBot="1">
      <c r="A21" s="2" t="s">
        <v>293</v>
      </c>
      <c r="C21" s="349">
        <f>+C18+C20</f>
        <v>-243411.1899999939</v>
      </c>
      <c r="E21" s="78"/>
    </row>
    <row r="22" spans="1:5" ht="13.5" thickTop="1">
      <c r="A22" s="2"/>
      <c r="C22" s="89"/>
      <c r="E22" s="78"/>
    </row>
    <row r="23" ht="12.75">
      <c r="E23" s="78"/>
    </row>
    <row r="24" spans="1:8" s="77" customFormat="1" ht="12.75">
      <c r="A24" s="16" t="s">
        <v>25</v>
      </c>
      <c r="C24" s="1" t="s">
        <v>55</v>
      </c>
      <c r="D24" s="78"/>
      <c r="E24" s="78"/>
      <c r="F24" s="76"/>
      <c r="G24" s="76"/>
      <c r="H24" s="76"/>
    </row>
    <row r="25" spans="1:8" s="77" customFormat="1" ht="12.75">
      <c r="A25" s="16"/>
      <c r="C25" s="99"/>
      <c r="D25" s="87"/>
      <c r="E25" s="87"/>
      <c r="F25" s="76"/>
      <c r="G25" s="76"/>
      <c r="H25" s="76"/>
    </row>
    <row r="26" spans="1:8" s="77" customFormat="1" ht="12.75">
      <c r="A26" s="16"/>
      <c r="C26" s="100"/>
      <c r="D26" s="16"/>
      <c r="E26" s="16"/>
      <c r="F26" s="76"/>
      <c r="G26" s="76"/>
      <c r="H26" s="76"/>
    </row>
    <row r="27" spans="1:8" s="77" customFormat="1" ht="12.75">
      <c r="A27" s="17" t="s">
        <v>658</v>
      </c>
      <c r="C27" s="20" t="s">
        <v>712</v>
      </c>
      <c r="E27" s="88"/>
      <c r="F27" s="76"/>
      <c r="G27" s="76"/>
      <c r="H27" s="76"/>
    </row>
    <row r="28" spans="1:8" s="77" customFormat="1" ht="12.75">
      <c r="A28" s="16" t="s">
        <v>210</v>
      </c>
      <c r="C28" s="1" t="s">
        <v>224</v>
      </c>
      <c r="E28" s="88"/>
      <c r="F28" s="76"/>
      <c r="G28" s="76"/>
      <c r="H28" s="76"/>
    </row>
    <row r="29" ht="12.75">
      <c r="E29" s="78"/>
    </row>
    <row r="30" ht="12.75">
      <c r="E30" s="78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51"/>
  <sheetViews>
    <sheetView zoomScalePageLayoutView="0" workbookViewId="0" topLeftCell="A1">
      <selection activeCell="F57" sqref="F57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3.421875" style="1" customWidth="1"/>
    <col min="4" max="4" width="54.421875" style="1" customWidth="1"/>
    <col min="5" max="5" width="10.00390625" style="1" customWidth="1"/>
    <col min="6" max="6" width="18.00390625" style="1" customWidth="1"/>
    <col min="7" max="7" width="1.7109375" style="1" customWidth="1"/>
    <col min="8" max="8" width="18.28125" style="1" customWidth="1"/>
    <col min="9" max="9" width="9.140625" style="89" customWidth="1"/>
    <col min="10" max="10" width="25.00390625" style="89" customWidth="1"/>
    <col min="11" max="11" width="9.140625" style="89" customWidth="1"/>
    <col min="12" max="16384" width="9.140625" style="1" customWidth="1"/>
  </cols>
  <sheetData>
    <row r="1" spans="1:8" ht="15">
      <c r="A1" s="555" t="s">
        <v>1</v>
      </c>
      <c r="B1" s="555"/>
      <c r="C1" s="555"/>
      <c r="D1" s="555"/>
      <c r="E1" s="555"/>
      <c r="F1" s="555"/>
      <c r="G1" s="96"/>
      <c r="H1" s="96"/>
    </row>
    <row r="2" spans="1:8" ht="12.75">
      <c r="A2" s="551" t="s">
        <v>295</v>
      </c>
      <c r="B2" s="551"/>
      <c r="C2" s="551"/>
      <c r="D2" s="551"/>
      <c r="E2" s="551"/>
      <c r="F2" s="551"/>
      <c r="G2" s="87"/>
      <c r="H2" s="87"/>
    </row>
    <row r="3" spans="1:8" ht="12.75">
      <c r="A3" s="552" t="s">
        <v>215</v>
      </c>
      <c r="B3" s="552"/>
      <c r="C3" s="552"/>
      <c r="D3" s="552"/>
      <c r="E3" s="552"/>
      <c r="F3" s="552"/>
      <c r="G3" s="16"/>
      <c r="H3" s="16"/>
    </row>
    <row r="4" spans="1:8" ht="12.75">
      <c r="A4" s="552" t="s">
        <v>748</v>
      </c>
      <c r="B4" s="552"/>
      <c r="C4" s="552"/>
      <c r="D4" s="552"/>
      <c r="E4" s="552"/>
      <c r="F4" s="552"/>
      <c r="G4" s="16"/>
      <c r="H4" s="16"/>
    </row>
    <row r="6" spans="1:8" ht="15">
      <c r="A6" s="96" t="s">
        <v>9</v>
      </c>
      <c r="B6" s="96"/>
      <c r="C6" s="96"/>
      <c r="D6" s="96"/>
      <c r="E6" s="96"/>
      <c r="F6" s="96"/>
      <c r="G6" s="96"/>
      <c r="H6" s="96"/>
    </row>
    <row r="7" spans="6:8" ht="12.75">
      <c r="F7" s="78"/>
      <c r="G7" s="78"/>
      <c r="H7" s="78"/>
    </row>
    <row r="8" spans="1:8" ht="15">
      <c r="A8" s="90" t="s">
        <v>83</v>
      </c>
      <c r="F8" s="78"/>
      <c r="G8" s="78"/>
      <c r="H8" s="78"/>
    </row>
    <row r="9" spans="1:8" ht="12.75">
      <c r="A9" s="159"/>
      <c r="B9" s="176" t="s">
        <v>296</v>
      </c>
      <c r="C9" s="151"/>
      <c r="D9" s="153"/>
      <c r="E9" s="160"/>
      <c r="F9" s="217">
        <f>+F10+F13+F16</f>
        <v>12920725.069999993</v>
      </c>
      <c r="G9" s="78"/>
      <c r="H9" s="78"/>
    </row>
    <row r="10" spans="1:8" ht="12.75">
      <c r="A10" s="161"/>
      <c r="B10" s="173"/>
      <c r="C10" s="168" t="s">
        <v>297</v>
      </c>
      <c r="D10" s="152"/>
      <c r="E10" s="152"/>
      <c r="F10" s="217">
        <f>+F11</f>
        <v>35000</v>
      </c>
      <c r="G10" s="79"/>
      <c r="H10" s="79"/>
    </row>
    <row r="11" spans="1:8" ht="12.75">
      <c r="A11" s="161"/>
      <c r="B11" s="173"/>
      <c r="C11" s="168"/>
      <c r="D11" s="162" t="s">
        <v>101</v>
      </c>
      <c r="E11" s="152"/>
      <c r="F11" s="216">
        <f>ConvertedTB!O15</f>
        <v>35000</v>
      </c>
      <c r="G11" s="79"/>
      <c r="H11" s="79"/>
    </row>
    <row r="12" spans="1:8" ht="12.75" customHeight="1">
      <c r="A12" s="161"/>
      <c r="B12" s="173"/>
      <c r="C12" s="168"/>
      <c r="D12" s="152"/>
      <c r="E12" s="152"/>
      <c r="F12" s="216"/>
      <c r="G12" s="79"/>
      <c r="H12" s="79"/>
    </row>
    <row r="13" spans="1:8" ht="12.75" customHeight="1">
      <c r="A13" s="164"/>
      <c r="B13" s="164"/>
      <c r="C13" s="168" t="s">
        <v>298</v>
      </c>
      <c r="D13" s="152"/>
      <c r="E13" s="152"/>
      <c r="F13" s="217">
        <f>+F14</f>
        <v>12517612.65</v>
      </c>
      <c r="G13" s="79"/>
      <c r="H13" s="79"/>
    </row>
    <row r="14" spans="1:8" ht="12.75">
      <c r="A14" s="164"/>
      <c r="B14" s="164"/>
      <c r="C14" s="168"/>
      <c r="D14" s="177" t="s">
        <v>299</v>
      </c>
      <c r="E14" s="152"/>
      <c r="F14" s="216">
        <f>ConvertedTB!O19</f>
        <v>12517612.65</v>
      </c>
      <c r="G14" s="79"/>
      <c r="H14" s="79"/>
    </row>
    <row r="15" spans="1:8" ht="12.75">
      <c r="A15" s="164"/>
      <c r="B15" s="164"/>
      <c r="C15" s="168"/>
      <c r="D15" s="177"/>
      <c r="E15" s="152"/>
      <c r="F15" s="216"/>
      <c r="G15" s="79"/>
      <c r="H15" s="79"/>
    </row>
    <row r="16" spans="1:8" ht="12.75">
      <c r="A16" s="161"/>
      <c r="B16" s="172"/>
      <c r="C16" s="168" t="s">
        <v>300</v>
      </c>
      <c r="D16" s="168"/>
      <c r="E16" s="152"/>
      <c r="F16" s="217">
        <f>F17+F18+F19</f>
        <v>368112.41999999253</v>
      </c>
      <c r="G16" s="79"/>
      <c r="H16" s="79"/>
    </row>
    <row r="17" spans="1:8" ht="12.75">
      <c r="A17" s="161"/>
      <c r="B17" s="172"/>
      <c r="C17" s="168"/>
      <c r="D17" s="168" t="s">
        <v>510</v>
      </c>
      <c r="E17" s="152"/>
      <c r="F17" s="216">
        <f>ConvertedTB!O16</f>
        <v>333912.42</v>
      </c>
      <c r="G17" s="79"/>
      <c r="H17" s="79"/>
    </row>
    <row r="18" spans="1:8" ht="12.75">
      <c r="A18" s="161"/>
      <c r="B18" s="172"/>
      <c r="C18" s="168"/>
      <c r="D18" s="168" t="s">
        <v>593</v>
      </c>
      <c r="E18" s="152"/>
      <c r="F18" s="216">
        <f>ConvertedTB!O17</f>
        <v>0</v>
      </c>
      <c r="G18" s="79"/>
      <c r="H18" s="79"/>
    </row>
    <row r="19" spans="1:8" ht="12.75">
      <c r="A19" s="161"/>
      <c r="B19" s="172"/>
      <c r="C19" s="168"/>
      <c r="D19" s="162" t="s">
        <v>301</v>
      </c>
      <c r="E19" s="152"/>
      <c r="F19" s="216">
        <f>ConvertedTB!O18</f>
        <v>34199.99999999255</v>
      </c>
      <c r="G19" s="79"/>
      <c r="H19" s="79"/>
    </row>
    <row r="20" spans="1:8" ht="12.75">
      <c r="A20" s="161"/>
      <c r="B20" s="172"/>
      <c r="C20" s="168"/>
      <c r="D20" s="152"/>
      <c r="E20" s="152"/>
      <c r="F20" s="216"/>
      <c r="G20" s="79"/>
      <c r="H20" s="79"/>
    </row>
    <row r="21" spans="1:8" ht="15">
      <c r="A21" s="159"/>
      <c r="B21" s="90" t="s">
        <v>84</v>
      </c>
      <c r="C21" s="170"/>
      <c r="D21" s="170"/>
      <c r="E21" s="152"/>
      <c r="F21" s="216"/>
      <c r="G21" s="79"/>
      <c r="H21" s="95"/>
    </row>
    <row r="22" spans="1:8" ht="12.75">
      <c r="A22" s="159"/>
      <c r="B22" s="169"/>
      <c r="C22" s="169" t="s">
        <v>592</v>
      </c>
      <c r="D22" s="170"/>
      <c r="E22" s="152"/>
      <c r="F22" s="217">
        <f>+F23+F24+F25</f>
        <v>37884518.61</v>
      </c>
      <c r="G22" s="79"/>
      <c r="H22" s="95"/>
    </row>
    <row r="23" spans="1:8" ht="12.75">
      <c r="A23" s="159"/>
      <c r="B23" s="169"/>
      <c r="C23" s="170"/>
      <c r="D23" s="162" t="s">
        <v>567</v>
      </c>
      <c r="E23" s="152"/>
      <c r="F23" s="216">
        <f>ConvertedTB!O20</f>
        <v>21915058.29</v>
      </c>
      <c r="G23" s="79"/>
      <c r="H23" s="95"/>
    </row>
    <row r="24" spans="1:8" ht="12.75">
      <c r="A24" s="159"/>
      <c r="B24" s="169"/>
      <c r="C24" s="170"/>
      <c r="D24" s="162" t="s">
        <v>739</v>
      </c>
      <c r="E24" s="152"/>
      <c r="F24" s="216">
        <f>ConvertedTB!O32</f>
        <v>15472460.32</v>
      </c>
      <c r="G24" s="79"/>
      <c r="H24" s="95"/>
    </row>
    <row r="25" spans="1:8" ht="12.75">
      <c r="A25" s="159"/>
      <c r="B25" s="169"/>
      <c r="C25" s="170"/>
      <c r="D25" s="162" t="s">
        <v>734</v>
      </c>
      <c r="E25" s="152"/>
      <c r="F25" s="216">
        <f>ConvertedTB!O21</f>
        <v>497000</v>
      </c>
      <c r="G25" s="79"/>
      <c r="H25" s="95"/>
    </row>
    <row r="26" spans="1:8" ht="12.75">
      <c r="A26" s="159"/>
      <c r="B26" s="169"/>
      <c r="C26" s="170"/>
      <c r="D26" s="170"/>
      <c r="E26" s="152"/>
      <c r="F26" s="216"/>
      <c r="G26" s="79"/>
      <c r="H26" s="95"/>
    </row>
    <row r="27" spans="1:8" ht="12.75">
      <c r="A27" s="159"/>
      <c r="B27" s="169"/>
      <c r="C27" s="170"/>
      <c r="D27" s="170"/>
      <c r="E27" s="152"/>
      <c r="F27" s="216"/>
      <c r="G27" s="79"/>
      <c r="H27" s="95"/>
    </row>
    <row r="28" spans="1:8" ht="12.75">
      <c r="A28" s="156"/>
      <c r="B28" s="176" t="s">
        <v>85</v>
      </c>
      <c r="C28" s="151"/>
      <c r="D28" s="151"/>
      <c r="E28" s="160"/>
      <c r="F28" s="217">
        <f>+F29+F32+F37</f>
        <v>46662.22</v>
      </c>
      <c r="G28" s="78"/>
      <c r="H28" s="78"/>
    </row>
    <row r="29" spans="1:8" ht="12.75">
      <c r="A29" s="156"/>
      <c r="B29" s="176"/>
      <c r="C29" s="168" t="s">
        <v>303</v>
      </c>
      <c r="D29" s="151"/>
      <c r="E29" s="160"/>
      <c r="F29" s="217">
        <f>+F30</f>
        <v>0</v>
      </c>
      <c r="G29" s="78"/>
      <c r="H29" s="78"/>
    </row>
    <row r="30" spans="1:8" ht="12.75">
      <c r="A30" s="156"/>
      <c r="B30" s="176"/>
      <c r="C30" s="151"/>
      <c r="D30" s="162" t="s">
        <v>225</v>
      </c>
      <c r="E30" s="160"/>
      <c r="F30" s="218">
        <v>0</v>
      </c>
      <c r="G30" s="78"/>
      <c r="H30" s="78"/>
    </row>
    <row r="31" spans="1:8" ht="12.75">
      <c r="A31" s="156"/>
      <c r="B31" s="176"/>
      <c r="C31" s="151"/>
      <c r="D31" s="162"/>
      <c r="E31" s="160"/>
      <c r="F31" s="218"/>
      <c r="G31" s="78"/>
      <c r="H31" s="78"/>
    </row>
    <row r="32" spans="1:8" ht="12.75">
      <c r="A32" s="161"/>
      <c r="B32" s="166"/>
      <c r="C32" s="168" t="s">
        <v>304</v>
      </c>
      <c r="D32" s="152"/>
      <c r="E32" s="152"/>
      <c r="F32" s="217">
        <f>+F33+F34+F35</f>
        <v>46662.22</v>
      </c>
      <c r="G32" s="78"/>
      <c r="H32" s="78"/>
    </row>
    <row r="33" spans="1:8" ht="12.75">
      <c r="A33" s="161"/>
      <c r="B33" s="166"/>
      <c r="C33" s="168"/>
      <c r="D33" s="162" t="s">
        <v>11</v>
      </c>
      <c r="E33" s="152"/>
      <c r="F33" s="218">
        <f>ConvertedTB!O22</f>
        <v>46662.22</v>
      </c>
      <c r="G33" s="78"/>
      <c r="H33" s="78"/>
    </row>
    <row r="34" spans="1:8" ht="12.75">
      <c r="A34" s="161"/>
      <c r="B34" s="166"/>
      <c r="C34" s="168"/>
      <c r="D34" s="162" t="s">
        <v>108</v>
      </c>
      <c r="E34" s="152"/>
      <c r="F34" s="218">
        <f>ConvertedTB!O23</f>
        <v>0</v>
      </c>
      <c r="G34" s="78"/>
      <c r="H34" s="78"/>
    </row>
    <row r="35" spans="1:8" ht="12.75">
      <c r="A35" s="161"/>
      <c r="B35" s="166"/>
      <c r="C35" s="168"/>
      <c r="D35" s="162" t="s">
        <v>109</v>
      </c>
      <c r="E35" s="152"/>
      <c r="F35" s="218">
        <f>ConvertedTB!O24</f>
        <v>0</v>
      </c>
      <c r="G35" s="78"/>
      <c r="H35" s="78"/>
    </row>
    <row r="36" spans="1:8" ht="12.75">
      <c r="A36" s="161"/>
      <c r="B36" s="166"/>
      <c r="C36" s="168"/>
      <c r="D36" s="152"/>
      <c r="E36" s="152"/>
      <c r="F36" s="89"/>
      <c r="G36" s="78"/>
      <c r="H36" s="78"/>
    </row>
    <row r="37" spans="1:8" ht="12.75">
      <c r="A37" s="161"/>
      <c r="B37" s="166"/>
      <c r="C37" s="168" t="s">
        <v>305</v>
      </c>
      <c r="D37" s="152"/>
      <c r="E37" s="152"/>
      <c r="F37" s="217">
        <f>+F38+F39+F40+F41</f>
        <v>0</v>
      </c>
      <c r="G37" s="78"/>
      <c r="H37" s="78"/>
    </row>
    <row r="38" spans="1:8" ht="12.75">
      <c r="A38" s="161"/>
      <c r="B38" s="166"/>
      <c r="C38" s="168"/>
      <c r="D38" s="474" t="s">
        <v>239</v>
      </c>
      <c r="E38" s="152"/>
      <c r="F38" s="218">
        <f>ConvertedTB!O25</f>
        <v>0</v>
      </c>
      <c r="G38" s="78"/>
      <c r="H38" s="78"/>
    </row>
    <row r="39" spans="1:8" ht="12.75">
      <c r="A39" s="161"/>
      <c r="B39" s="166"/>
      <c r="C39" s="168"/>
      <c r="D39" s="474" t="s">
        <v>238</v>
      </c>
      <c r="E39" s="152"/>
      <c r="F39" s="218">
        <f>ConvertedTB!O26</f>
        <v>0</v>
      </c>
      <c r="G39" s="78"/>
      <c r="H39" s="78"/>
    </row>
    <row r="40" spans="1:8" ht="12.75">
      <c r="A40" s="161"/>
      <c r="B40" s="166"/>
      <c r="C40" s="168"/>
      <c r="D40" s="474" t="s">
        <v>534</v>
      </c>
      <c r="E40" s="152"/>
      <c r="F40" s="218">
        <f>ConvertedTB!O27</f>
        <v>0</v>
      </c>
      <c r="G40" s="78"/>
      <c r="H40" s="78"/>
    </row>
    <row r="41" spans="1:8" ht="12.75">
      <c r="A41" s="161"/>
      <c r="B41" s="166"/>
      <c r="C41" s="168"/>
      <c r="D41" s="474" t="s">
        <v>529</v>
      </c>
      <c r="E41" s="152"/>
      <c r="F41" s="218">
        <f>ConvertedTB!O28</f>
        <v>0</v>
      </c>
      <c r="G41" s="78"/>
      <c r="H41" s="78"/>
    </row>
    <row r="42" spans="1:8" ht="12.75">
      <c r="A42" s="161"/>
      <c r="B42" s="166"/>
      <c r="C42" s="168"/>
      <c r="D42" s="162"/>
      <c r="E42" s="152"/>
      <c r="F42" s="218">
        <v>0</v>
      </c>
      <c r="G42" s="78"/>
      <c r="H42" s="78"/>
    </row>
    <row r="43" spans="1:8" ht="12.75">
      <c r="A43" s="161"/>
      <c r="B43" s="166"/>
      <c r="C43" s="168"/>
      <c r="D43" s="152"/>
      <c r="E43" s="152"/>
      <c r="F43" s="89"/>
      <c r="G43" s="78"/>
      <c r="H43" s="78"/>
    </row>
    <row r="44" spans="1:8" ht="12.75">
      <c r="A44" s="156"/>
      <c r="B44" s="151" t="s">
        <v>308</v>
      </c>
      <c r="C44" s="151"/>
      <c r="D44" s="151"/>
      <c r="E44" s="160"/>
      <c r="F44" s="217">
        <f>+F45+F50</f>
        <v>3060</v>
      </c>
      <c r="G44" s="78"/>
      <c r="H44" s="78"/>
    </row>
    <row r="45" spans="1:8" ht="12.75">
      <c r="A45" s="161"/>
      <c r="B45" s="166"/>
      <c r="C45" s="168" t="s">
        <v>309</v>
      </c>
      <c r="D45" s="168"/>
      <c r="E45" s="152"/>
      <c r="F45" s="217">
        <f>+F46+F47+F48</f>
        <v>3060</v>
      </c>
      <c r="G45" s="78"/>
      <c r="H45" s="78"/>
    </row>
    <row r="46" spans="1:8" ht="12.75">
      <c r="A46" s="161"/>
      <c r="B46" s="166"/>
      <c r="C46" s="168"/>
      <c r="D46" s="162" t="s">
        <v>213</v>
      </c>
      <c r="E46" s="152"/>
      <c r="F46" s="218">
        <f>ConvertedTB!O29</f>
        <v>3060</v>
      </c>
      <c r="G46" s="78"/>
      <c r="H46" s="78"/>
    </row>
    <row r="47" spans="1:8" ht="12.75">
      <c r="A47" s="161"/>
      <c r="B47" s="166"/>
      <c r="C47" s="168"/>
      <c r="D47" s="162" t="s">
        <v>310</v>
      </c>
      <c r="E47" s="152"/>
      <c r="F47" s="218">
        <f>ConvertedTB!O30</f>
        <v>0</v>
      </c>
      <c r="G47" s="78"/>
      <c r="H47" s="78"/>
    </row>
    <row r="48" spans="1:8" ht="12.75">
      <c r="A48" s="161"/>
      <c r="B48" s="166"/>
      <c r="C48" s="168"/>
      <c r="D48" s="162" t="s">
        <v>60</v>
      </c>
      <c r="E48" s="152"/>
      <c r="F48" s="218">
        <f>ConvertedTB!O31</f>
        <v>0</v>
      </c>
      <c r="G48" s="78"/>
      <c r="H48" s="78"/>
    </row>
    <row r="49" spans="1:8" ht="12.75">
      <c r="A49" s="161"/>
      <c r="B49" s="166"/>
      <c r="C49" s="168"/>
      <c r="D49" s="152"/>
      <c r="E49" s="152"/>
      <c r="F49" s="89"/>
      <c r="G49" s="78"/>
      <c r="H49" s="78"/>
    </row>
    <row r="50" spans="1:8" ht="12.75">
      <c r="A50" s="161"/>
      <c r="B50" s="166"/>
      <c r="C50" s="168" t="s">
        <v>311</v>
      </c>
      <c r="D50" s="168"/>
      <c r="E50" s="152"/>
      <c r="F50" s="217">
        <f>+F51</f>
        <v>0</v>
      </c>
      <c r="G50" s="78"/>
      <c r="H50" s="78"/>
    </row>
    <row r="51" spans="1:8" ht="12.75">
      <c r="A51" s="161"/>
      <c r="B51" s="166"/>
      <c r="C51" s="168"/>
      <c r="D51" s="162" t="s">
        <v>52</v>
      </c>
      <c r="E51" s="152"/>
      <c r="F51" s="218"/>
      <c r="G51" s="78"/>
      <c r="H51" s="78"/>
    </row>
    <row r="52" spans="1:8" ht="12.75">
      <c r="A52" s="161"/>
      <c r="B52" s="166"/>
      <c r="C52" s="162"/>
      <c r="D52" s="152"/>
      <c r="E52" s="152"/>
      <c r="F52" s="89"/>
      <c r="G52" s="78"/>
      <c r="H52" s="78"/>
    </row>
    <row r="53" spans="1:8" ht="12.75">
      <c r="A53" s="156"/>
      <c r="B53" s="151" t="s">
        <v>316</v>
      </c>
      <c r="C53" s="153"/>
      <c r="D53" s="153"/>
      <c r="E53" s="160"/>
      <c r="F53" s="219">
        <f>+F44+F28+F22+F9</f>
        <v>50854965.89999999</v>
      </c>
      <c r="G53" s="78"/>
      <c r="H53" s="78"/>
    </row>
    <row r="54" spans="1:8" ht="12.75">
      <c r="A54" s="161"/>
      <c r="B54" s="152"/>
      <c r="C54" s="162"/>
      <c r="D54" s="152"/>
      <c r="E54" s="152"/>
      <c r="F54" s="216"/>
      <c r="G54" s="78"/>
      <c r="H54" s="78"/>
    </row>
    <row r="55" spans="1:8" ht="12.75">
      <c r="A55" s="151" t="s">
        <v>317</v>
      </c>
      <c r="B55" s="152"/>
      <c r="C55" s="162"/>
      <c r="D55" s="152"/>
      <c r="E55" s="152"/>
      <c r="F55" s="89"/>
      <c r="G55" s="78"/>
      <c r="H55" s="78"/>
    </row>
    <row r="56" spans="1:6" ht="12.75">
      <c r="A56" s="156"/>
      <c r="B56" s="151" t="s">
        <v>86</v>
      </c>
      <c r="C56" s="151"/>
      <c r="D56" s="153"/>
      <c r="E56" s="160"/>
      <c r="F56" s="217">
        <f>F60+F67+F74+F85+F100+F91+F98+F70</f>
        <v>44804137.86</v>
      </c>
    </row>
    <row r="57" spans="1:8" ht="12.75">
      <c r="A57" s="161"/>
      <c r="B57" s="171"/>
      <c r="C57" s="162" t="s">
        <v>12</v>
      </c>
      <c r="E57" s="152"/>
      <c r="F57" s="218">
        <f>ConvertedTB!O33</f>
        <v>1208049.99</v>
      </c>
      <c r="G57" s="152"/>
      <c r="H57" s="167"/>
    </row>
    <row r="58" spans="1:8" ht="12.75">
      <c r="A58" s="161"/>
      <c r="B58" s="171"/>
      <c r="C58" s="168"/>
      <c r="D58" s="155" t="s">
        <v>320</v>
      </c>
      <c r="E58" s="152"/>
      <c r="F58" s="216">
        <f>-ConvertedTB!P34</f>
        <v>-364327.7</v>
      </c>
      <c r="G58" s="152"/>
      <c r="H58" s="167"/>
    </row>
    <row r="59" spans="1:8" ht="12.75">
      <c r="A59" s="161"/>
      <c r="B59" s="171"/>
      <c r="C59" s="168"/>
      <c r="D59" s="182" t="s">
        <v>321</v>
      </c>
      <c r="E59" s="152"/>
      <c r="F59" s="216">
        <v>0</v>
      </c>
      <c r="G59" s="152"/>
      <c r="H59" s="167"/>
    </row>
    <row r="60" spans="1:8" ht="12.75">
      <c r="A60" s="161"/>
      <c r="B60" s="171"/>
      <c r="C60" s="168"/>
      <c r="D60" s="182" t="s">
        <v>319</v>
      </c>
      <c r="E60" s="152"/>
      <c r="F60" s="219">
        <f>SUM(F57:F59)</f>
        <v>843722.29</v>
      </c>
      <c r="G60" s="152"/>
      <c r="H60" s="167"/>
    </row>
    <row r="61" spans="1:8" ht="9.75" customHeight="1">
      <c r="A61" s="161"/>
      <c r="B61" s="171"/>
      <c r="C61" s="168"/>
      <c r="D61" s="182"/>
      <c r="E61" s="152"/>
      <c r="F61" s="220"/>
      <c r="G61" s="152"/>
      <c r="H61" s="167"/>
    </row>
    <row r="62" spans="1:8" ht="12.75">
      <c r="A62" s="161"/>
      <c r="B62" s="171"/>
      <c r="C62" s="162" t="s">
        <v>322</v>
      </c>
      <c r="E62" s="152"/>
      <c r="F62" s="216">
        <f>ConvertedTB!O35</f>
        <v>718378</v>
      </c>
      <c r="G62" s="152"/>
      <c r="H62" s="167"/>
    </row>
    <row r="63" spans="1:8" ht="12.75">
      <c r="A63" s="161"/>
      <c r="B63" s="171"/>
      <c r="C63" s="168"/>
      <c r="D63" s="155" t="s">
        <v>323</v>
      </c>
      <c r="E63" s="152"/>
      <c r="F63" s="216">
        <f>-ConvertedTB!P36</f>
        <v>-422310.89</v>
      </c>
      <c r="G63" s="152"/>
      <c r="H63" s="167"/>
    </row>
    <row r="64" spans="1:8" ht="12.75">
      <c r="A64" s="161"/>
      <c r="B64" s="171"/>
      <c r="C64" s="168"/>
      <c r="D64" s="184" t="s">
        <v>324</v>
      </c>
      <c r="E64" s="152"/>
      <c r="F64" s="216">
        <f>-ConvertedTB!P35</f>
        <v>0</v>
      </c>
      <c r="G64" s="152"/>
      <c r="H64" s="167"/>
    </row>
    <row r="65" spans="1:8" ht="12.75">
      <c r="A65" s="161"/>
      <c r="B65" s="171"/>
      <c r="C65" s="168"/>
      <c r="D65" s="183" t="s">
        <v>325</v>
      </c>
      <c r="E65" s="152"/>
      <c r="F65" s="216"/>
      <c r="G65" s="152"/>
      <c r="H65" s="167"/>
    </row>
    <row r="66" spans="1:8" ht="12.75">
      <c r="A66" s="161"/>
      <c r="B66" s="171"/>
      <c r="C66" s="168"/>
      <c r="D66" s="184" t="s">
        <v>324</v>
      </c>
      <c r="E66" s="152"/>
      <c r="F66" s="216">
        <v>0</v>
      </c>
      <c r="G66" s="152"/>
      <c r="H66" s="167"/>
    </row>
    <row r="67" spans="1:8" ht="12.75">
      <c r="A67" s="161"/>
      <c r="B67" s="171"/>
      <c r="C67" s="168"/>
      <c r="D67" s="165" t="s">
        <v>319</v>
      </c>
      <c r="E67" s="152"/>
      <c r="F67" s="219">
        <f>SUM(F62:F66)</f>
        <v>296067.11</v>
      </c>
      <c r="G67" s="152"/>
      <c r="H67" s="167"/>
    </row>
    <row r="68" spans="1:8" ht="7.5" customHeight="1">
      <c r="A68" s="161"/>
      <c r="B68" s="171"/>
      <c r="C68" s="168"/>
      <c r="D68" s="165"/>
      <c r="E68" s="152"/>
      <c r="F68" s="216"/>
      <c r="G68" s="152"/>
      <c r="H68" s="167"/>
    </row>
    <row r="69" spans="1:8" ht="12.75">
      <c r="A69" s="161"/>
      <c r="B69" s="171"/>
      <c r="C69" s="162" t="s">
        <v>754</v>
      </c>
      <c r="E69" s="152"/>
      <c r="F69" s="218">
        <v>0</v>
      </c>
      <c r="G69" s="152"/>
      <c r="H69" s="167"/>
    </row>
    <row r="70" spans="1:8" ht="12.75">
      <c r="A70" s="161"/>
      <c r="B70" s="171"/>
      <c r="C70" s="168"/>
      <c r="D70" s="155" t="s">
        <v>755</v>
      </c>
      <c r="E70" s="152"/>
      <c r="F70" s="216">
        <f>ConvertedTB!O45</f>
        <v>2391000</v>
      </c>
      <c r="G70" s="152"/>
      <c r="H70" s="167"/>
    </row>
    <row r="71" spans="1:8" ht="12.75">
      <c r="A71" s="161"/>
      <c r="B71" s="171"/>
      <c r="C71" s="168"/>
      <c r="D71" s="182" t="s">
        <v>756</v>
      </c>
      <c r="E71" s="152"/>
      <c r="F71" s="216">
        <v>0</v>
      </c>
      <c r="G71" s="152"/>
      <c r="H71" s="167"/>
    </row>
    <row r="72" spans="1:8" ht="12.75">
      <c r="A72" s="161"/>
      <c r="B72" s="171"/>
      <c r="C72" s="168"/>
      <c r="D72" s="182" t="s">
        <v>319</v>
      </c>
      <c r="E72" s="152"/>
      <c r="F72" s="219">
        <f>SUM(F69:F71)</f>
        <v>2391000</v>
      </c>
      <c r="G72" s="152"/>
      <c r="H72" s="167"/>
    </row>
    <row r="73" spans="1:8" ht="7.5" customHeight="1">
      <c r="A73" s="161"/>
      <c r="B73" s="171"/>
      <c r="C73" s="168"/>
      <c r="D73" s="182"/>
      <c r="E73" s="152"/>
      <c r="F73" s="216"/>
      <c r="G73" s="152"/>
      <c r="H73" s="167"/>
    </row>
    <row r="74" spans="1:8" ht="12.75">
      <c r="A74" s="161"/>
      <c r="B74" s="171"/>
      <c r="C74" s="168" t="s">
        <v>514</v>
      </c>
      <c r="D74" s="168"/>
      <c r="E74" s="152"/>
      <c r="F74" s="217">
        <f>+F78+F83</f>
        <v>206700.71</v>
      </c>
      <c r="G74" s="152"/>
      <c r="H74" s="167"/>
    </row>
    <row r="75" spans="1:8" ht="12.75">
      <c r="A75" s="161"/>
      <c r="B75" s="171"/>
      <c r="C75" s="168"/>
      <c r="D75" s="168" t="s">
        <v>511</v>
      </c>
      <c r="E75" s="152"/>
      <c r="F75" s="218">
        <f>ConvertedTB!O41</f>
        <v>40622</v>
      </c>
      <c r="G75" s="152"/>
      <c r="H75" s="167"/>
    </row>
    <row r="76" spans="1:8" ht="12.75">
      <c r="A76" s="161"/>
      <c r="B76" s="171"/>
      <c r="C76" s="168"/>
      <c r="D76" s="155" t="s">
        <v>512</v>
      </c>
      <c r="E76" s="152"/>
      <c r="F76" s="216">
        <f>-ConvertedTB!P42</f>
        <v>-9647.73</v>
      </c>
      <c r="G76" s="152"/>
      <c r="H76" s="167"/>
    </row>
    <row r="77" spans="1:8" ht="25.5">
      <c r="A77" s="161"/>
      <c r="B77" s="171"/>
      <c r="C77" s="168"/>
      <c r="D77" s="182" t="s">
        <v>513</v>
      </c>
      <c r="E77" s="152"/>
      <c r="F77" s="216">
        <v>0</v>
      </c>
      <c r="G77" s="152"/>
      <c r="H77" s="167"/>
    </row>
    <row r="78" spans="1:8" ht="12.75">
      <c r="A78" s="161"/>
      <c r="B78" s="171"/>
      <c r="C78" s="168"/>
      <c r="D78" s="182" t="s">
        <v>319</v>
      </c>
      <c r="E78" s="152"/>
      <c r="F78" s="219">
        <f>SUM(F75:F77)</f>
        <v>30974.27</v>
      </c>
      <c r="G78" s="152"/>
      <c r="H78" s="167"/>
    </row>
    <row r="79" spans="1:8" ht="6.75" customHeight="1">
      <c r="A79" s="161"/>
      <c r="B79" s="171"/>
      <c r="C79" s="168"/>
      <c r="D79" s="165"/>
      <c r="E79" s="152"/>
      <c r="F79" s="89"/>
      <c r="H79" s="3"/>
    </row>
    <row r="80" spans="1:8" ht="12.75">
      <c r="A80" s="161"/>
      <c r="B80" s="171"/>
      <c r="C80" s="168"/>
      <c r="D80" s="168" t="s">
        <v>128</v>
      </c>
      <c r="E80" s="152"/>
      <c r="F80" s="218">
        <f>ConvertedTB!O43</f>
        <v>545970</v>
      </c>
      <c r="H80" s="3"/>
    </row>
    <row r="81" spans="1:8" ht="12.75">
      <c r="A81" s="161"/>
      <c r="B81" s="171"/>
      <c r="C81" s="168"/>
      <c r="D81" s="155" t="s">
        <v>515</v>
      </c>
      <c r="E81" s="152"/>
      <c r="F81" s="216">
        <f>-ConvertedTB!P44</f>
        <v>-370243.56</v>
      </c>
      <c r="H81" s="3"/>
    </row>
    <row r="82" spans="1:8" ht="25.5">
      <c r="A82" s="161"/>
      <c r="B82" s="171"/>
      <c r="C82" s="168"/>
      <c r="D82" s="182" t="s">
        <v>516</v>
      </c>
      <c r="E82" s="152"/>
      <c r="F82" s="216">
        <v>0</v>
      </c>
      <c r="H82" s="3"/>
    </row>
    <row r="83" spans="1:8" ht="12.75">
      <c r="A83" s="161"/>
      <c r="B83" s="171"/>
      <c r="C83" s="168"/>
      <c r="D83" s="182" t="s">
        <v>319</v>
      </c>
      <c r="E83" s="152"/>
      <c r="F83" s="219">
        <f>SUM(F80:F82)</f>
        <v>175726.44</v>
      </c>
      <c r="H83" s="3"/>
    </row>
    <row r="84" spans="1:8" ht="6" customHeight="1">
      <c r="A84" s="161"/>
      <c r="B84" s="171"/>
      <c r="C84" s="168"/>
      <c r="D84" s="165"/>
      <c r="E84" s="152"/>
      <c r="F84" s="89"/>
      <c r="H84" s="3"/>
    </row>
    <row r="85" spans="1:8" ht="12.75">
      <c r="A85" s="161"/>
      <c r="B85" s="181"/>
      <c r="C85" s="168" t="s">
        <v>328</v>
      </c>
      <c r="D85" s="152"/>
      <c r="E85" s="152"/>
      <c r="F85" s="217">
        <f>+F89</f>
        <v>312634.3599999999</v>
      </c>
      <c r="H85" s="3"/>
    </row>
    <row r="86" spans="1:8" ht="12.75">
      <c r="A86" s="161"/>
      <c r="B86" s="181"/>
      <c r="C86" s="168"/>
      <c r="D86" s="162" t="s">
        <v>329</v>
      </c>
      <c r="E86" s="152"/>
      <c r="F86" s="218">
        <f>ConvertedTB!O47</f>
        <v>631727.2</v>
      </c>
      <c r="H86" s="3"/>
    </row>
    <row r="87" spans="1:8" ht="12.75">
      <c r="A87" s="161"/>
      <c r="B87" s="181"/>
      <c r="C87" s="168"/>
      <c r="D87" s="179" t="s">
        <v>330</v>
      </c>
      <c r="E87" s="152"/>
      <c r="F87" s="216">
        <f>-ConvertedTB!P48</f>
        <v>-319092.84</v>
      </c>
      <c r="H87" s="3"/>
    </row>
    <row r="88" spans="1:8" ht="12.75">
      <c r="A88" s="161"/>
      <c r="B88" s="181"/>
      <c r="C88" s="168"/>
      <c r="D88" s="155" t="s">
        <v>331</v>
      </c>
      <c r="E88" s="152"/>
      <c r="F88" s="216">
        <v>0</v>
      </c>
      <c r="H88" s="3"/>
    </row>
    <row r="89" spans="1:6" ht="12.75">
      <c r="A89" s="161"/>
      <c r="B89" s="181"/>
      <c r="C89" s="168"/>
      <c r="D89" s="155" t="s">
        <v>319</v>
      </c>
      <c r="E89" s="152"/>
      <c r="F89" s="219">
        <f>SUM(F86:F88)</f>
        <v>312634.3599999999</v>
      </c>
    </row>
    <row r="90" spans="1:6" ht="6.75" customHeight="1">
      <c r="A90" s="161"/>
      <c r="B90" s="166"/>
      <c r="C90" s="152"/>
      <c r="D90" s="155"/>
      <c r="E90" s="152"/>
      <c r="F90" s="220"/>
    </row>
    <row r="91" spans="1:6" ht="12.75">
      <c r="A91" s="161"/>
      <c r="B91" s="166"/>
      <c r="C91" s="163" t="s">
        <v>332</v>
      </c>
      <c r="D91" s="163"/>
      <c r="E91" s="152"/>
      <c r="F91" s="217">
        <f>F95</f>
        <v>0</v>
      </c>
    </row>
    <row r="92" spans="1:6" ht="12.75">
      <c r="A92" s="161"/>
      <c r="B92" s="166"/>
      <c r="C92" s="163"/>
      <c r="D92" s="162" t="s">
        <v>713</v>
      </c>
      <c r="E92" s="152"/>
      <c r="F92" s="216">
        <f>ConvertedTB!O49</f>
        <v>0</v>
      </c>
    </row>
    <row r="93" spans="1:6" ht="12.75">
      <c r="A93" s="161"/>
      <c r="B93" s="166"/>
      <c r="C93" s="163"/>
      <c r="D93" s="179" t="s">
        <v>714</v>
      </c>
      <c r="E93" s="152"/>
      <c r="F93" s="216">
        <f>-ConvertedTB!P50</f>
        <v>0</v>
      </c>
    </row>
    <row r="94" spans="1:6" ht="12.75">
      <c r="A94" s="161"/>
      <c r="B94" s="166"/>
      <c r="C94" s="163"/>
      <c r="D94" s="155" t="s">
        <v>715</v>
      </c>
      <c r="E94" s="152"/>
      <c r="F94" s="216"/>
    </row>
    <row r="95" spans="1:6" ht="12.75">
      <c r="A95" s="161"/>
      <c r="B95" s="166"/>
      <c r="C95" s="163"/>
      <c r="D95" s="155" t="s">
        <v>319</v>
      </c>
      <c r="E95" s="152"/>
      <c r="F95" s="219">
        <f>SUM(F92:F94)</f>
        <v>0</v>
      </c>
    </row>
    <row r="96" spans="1:6" ht="7.5" customHeight="1">
      <c r="A96" s="161"/>
      <c r="B96" s="166"/>
      <c r="C96" s="163"/>
      <c r="D96" s="155"/>
      <c r="E96" s="152"/>
      <c r="F96" s="216"/>
    </row>
    <row r="97" spans="1:6" ht="12.75">
      <c r="A97" s="161"/>
      <c r="B97" s="166"/>
      <c r="C97" s="163" t="s">
        <v>461</v>
      </c>
      <c r="D97" s="155"/>
      <c r="E97" s="152"/>
      <c r="F97" s="216"/>
    </row>
    <row r="98" spans="1:6" ht="12.75">
      <c r="A98" s="161"/>
      <c r="B98" s="166"/>
      <c r="C98" s="163"/>
      <c r="D98" s="155" t="s">
        <v>716</v>
      </c>
      <c r="E98" s="152"/>
      <c r="F98" s="216">
        <f>ConvertedTB!O51</f>
        <v>40426250</v>
      </c>
    </row>
    <row r="99" spans="1:6" ht="7.5" customHeight="1">
      <c r="A99" s="161"/>
      <c r="B99" s="166"/>
      <c r="C99" s="168"/>
      <c r="D99" s="168"/>
      <c r="E99" s="152"/>
      <c r="F99" s="89"/>
    </row>
    <row r="100" spans="1:6" ht="12.75">
      <c r="A100" s="161"/>
      <c r="B100" s="166"/>
      <c r="C100" s="162" t="s">
        <v>15</v>
      </c>
      <c r="D100" s="152"/>
      <c r="E100" s="152"/>
      <c r="F100" s="217">
        <f>+F103</f>
        <v>327763.39</v>
      </c>
    </row>
    <row r="101" spans="1:6" ht="12.75">
      <c r="A101" s="161"/>
      <c r="B101" s="166"/>
      <c r="C101" s="152"/>
      <c r="D101" s="162" t="s">
        <v>15</v>
      </c>
      <c r="E101" s="152"/>
      <c r="F101" s="216">
        <f>ConvertedTB!O52</f>
        <v>327763.39</v>
      </c>
    </row>
    <row r="102" spans="1:6" ht="12.75">
      <c r="A102" s="161"/>
      <c r="B102" s="166"/>
      <c r="C102" s="152"/>
      <c r="D102" s="155" t="s">
        <v>336</v>
      </c>
      <c r="E102" s="152"/>
      <c r="F102" s="216">
        <v>0</v>
      </c>
    </row>
    <row r="103" spans="1:6" ht="12.75">
      <c r="A103" s="161"/>
      <c r="B103" s="166"/>
      <c r="C103" s="152"/>
      <c r="D103" s="155" t="s">
        <v>319</v>
      </c>
      <c r="E103" s="152"/>
      <c r="F103" s="219">
        <f>SUM(F101:F102)</f>
        <v>327763.39</v>
      </c>
    </row>
    <row r="104" spans="1:6" ht="12.75">
      <c r="A104" s="161"/>
      <c r="B104" s="166"/>
      <c r="C104" s="152"/>
      <c r="D104" s="155"/>
      <c r="E104" s="152"/>
      <c r="F104" s="216"/>
    </row>
    <row r="105" spans="1:6" ht="12.75">
      <c r="A105" s="156"/>
      <c r="B105" s="151" t="s">
        <v>337</v>
      </c>
      <c r="C105" s="153"/>
      <c r="D105" s="153"/>
      <c r="E105" s="160"/>
      <c r="F105" s="217">
        <f>+F56</f>
        <v>44804137.86</v>
      </c>
    </row>
    <row r="106" spans="1:6" ht="12.75">
      <c r="A106" s="161"/>
      <c r="B106" s="152"/>
      <c r="C106" s="162"/>
      <c r="D106" s="152"/>
      <c r="E106" s="152"/>
      <c r="F106" s="216"/>
    </row>
    <row r="107" spans="1:6" ht="12.75">
      <c r="A107" s="154" t="s">
        <v>87</v>
      </c>
      <c r="B107" s="151"/>
      <c r="C107" s="175"/>
      <c r="D107" s="175"/>
      <c r="E107" s="160"/>
      <c r="F107" s="221">
        <f>+F53+F105</f>
        <v>95659103.75999999</v>
      </c>
    </row>
    <row r="108" spans="1:6" ht="12.75">
      <c r="A108" s="157"/>
      <c r="B108" s="160"/>
      <c r="C108" s="180"/>
      <c r="D108" s="180"/>
      <c r="E108" s="152"/>
      <c r="F108" s="152"/>
    </row>
    <row r="109" spans="1:6" ht="12.75">
      <c r="A109" s="154" t="s">
        <v>338</v>
      </c>
      <c r="B109" s="160"/>
      <c r="C109" s="175"/>
      <c r="D109" s="175"/>
      <c r="E109" s="160"/>
      <c r="F109" s="160"/>
    </row>
    <row r="110" spans="1:6" ht="12.75">
      <c r="A110" s="152"/>
      <c r="B110" s="160"/>
      <c r="C110" s="180"/>
      <c r="D110" s="180"/>
      <c r="E110" s="152"/>
      <c r="F110" s="152"/>
    </row>
    <row r="111" spans="1:6" ht="12.75">
      <c r="A111" s="554" t="s">
        <v>88</v>
      </c>
      <c r="B111" s="554"/>
      <c r="C111" s="554"/>
      <c r="D111" s="554"/>
      <c r="E111" s="152"/>
      <c r="F111" s="152"/>
    </row>
    <row r="112" spans="1:6" ht="12.75">
      <c r="A112" s="151"/>
      <c r="B112" s="151" t="s">
        <v>89</v>
      </c>
      <c r="C112" s="151"/>
      <c r="D112" s="151"/>
      <c r="E112" s="152"/>
      <c r="F112" s="152"/>
    </row>
    <row r="113" spans="1:6" ht="12.75">
      <c r="A113" s="156"/>
      <c r="B113" s="151" t="s">
        <v>339</v>
      </c>
      <c r="C113" s="151"/>
      <c r="D113" s="151"/>
      <c r="E113" s="160"/>
      <c r="F113" s="217">
        <f>+F114</f>
        <v>35250</v>
      </c>
    </row>
    <row r="114" spans="1:6" ht="12.75">
      <c r="A114" s="161"/>
      <c r="B114" s="166"/>
      <c r="C114" s="162" t="s">
        <v>340</v>
      </c>
      <c r="D114" s="155"/>
      <c r="E114" s="152"/>
      <c r="F114" s="217">
        <f>+F115</f>
        <v>35250</v>
      </c>
    </row>
    <row r="115" spans="1:6" ht="12.75">
      <c r="A115" s="161"/>
      <c r="B115" s="166"/>
      <c r="C115" s="162"/>
      <c r="D115" s="162" t="s">
        <v>31</v>
      </c>
      <c r="E115" s="152"/>
      <c r="F115" s="218">
        <f>ConvertedTB!P55</f>
        <v>35250</v>
      </c>
    </row>
    <row r="116" spans="1:6" ht="12.75">
      <c r="A116" s="161"/>
      <c r="B116" s="166"/>
      <c r="C116" s="162"/>
      <c r="D116" s="152"/>
      <c r="E116" s="152"/>
      <c r="F116" s="89"/>
    </row>
    <row r="117" spans="1:6" ht="12.75">
      <c r="A117" s="156"/>
      <c r="B117" s="151" t="s">
        <v>341</v>
      </c>
      <c r="C117" s="153"/>
      <c r="D117" s="151"/>
      <c r="E117" s="160"/>
      <c r="F117" s="217">
        <f>F118+F123+F125+F119+F120+F121+F122+F124</f>
        <v>1052442.85</v>
      </c>
    </row>
    <row r="118" spans="1:6" ht="12.75">
      <c r="A118" s="161"/>
      <c r="B118" s="166"/>
      <c r="C118" s="152"/>
      <c r="D118" s="474" t="s">
        <v>46</v>
      </c>
      <c r="E118" s="152"/>
      <c r="F118" s="218">
        <f>ConvertedTB!P56</f>
        <v>201883.59000000003</v>
      </c>
    </row>
    <row r="119" spans="1:6" ht="12.75">
      <c r="A119" s="161"/>
      <c r="B119" s="166"/>
      <c r="C119" s="152"/>
      <c r="D119" s="475" t="s">
        <v>685</v>
      </c>
      <c r="E119" s="152"/>
      <c r="F119" s="218">
        <f>ConvertedTB!P57</f>
        <v>606404.4900000001</v>
      </c>
    </row>
    <row r="120" spans="1:6" ht="12.75">
      <c r="A120" s="161"/>
      <c r="B120" s="166"/>
      <c r="C120" s="152"/>
      <c r="D120" s="475" t="s">
        <v>686</v>
      </c>
      <c r="E120" s="152"/>
      <c r="F120" s="218">
        <f>ConvertedTB!P58</f>
        <v>106583</v>
      </c>
    </row>
    <row r="121" spans="1:6" ht="12.75">
      <c r="A121" s="161"/>
      <c r="B121" s="166"/>
      <c r="C121" s="152"/>
      <c r="D121" s="475" t="s">
        <v>687</v>
      </c>
      <c r="E121" s="152"/>
      <c r="F121" s="218">
        <f>ConvertedTB!P59</f>
        <v>25105.72</v>
      </c>
    </row>
    <row r="122" spans="1:6" ht="12.75">
      <c r="A122" s="161"/>
      <c r="B122" s="166"/>
      <c r="C122" s="152"/>
      <c r="D122" s="474" t="s">
        <v>690</v>
      </c>
      <c r="E122" s="152"/>
      <c r="F122" s="218">
        <f>ConvertedTB!P60</f>
        <v>8611.039999999999</v>
      </c>
    </row>
    <row r="123" spans="1:6" ht="12.75">
      <c r="A123" s="161"/>
      <c r="B123" s="166"/>
      <c r="C123" s="152"/>
      <c r="D123" s="474" t="s">
        <v>691</v>
      </c>
      <c r="E123" s="152"/>
      <c r="F123" s="218">
        <f>ConvertedTB!P61</f>
        <v>2493</v>
      </c>
    </row>
    <row r="124" spans="1:6" ht="12.75">
      <c r="A124" s="161"/>
      <c r="B124" s="166"/>
      <c r="C124" s="152"/>
      <c r="D124" s="474" t="s">
        <v>47</v>
      </c>
      <c r="E124" s="152"/>
      <c r="F124" s="218">
        <f>ConvertedTB!P62</f>
        <v>28358.740000000005</v>
      </c>
    </row>
    <row r="125" spans="1:6" ht="12.75">
      <c r="A125" s="161"/>
      <c r="B125" s="166"/>
      <c r="C125" s="152"/>
      <c r="D125" s="475" t="s">
        <v>59</v>
      </c>
      <c r="E125" s="152"/>
      <c r="F125" s="218">
        <f>ConvertedTB!P63</f>
        <v>73003.27000000003</v>
      </c>
    </row>
    <row r="126" spans="1:6" ht="12.75">
      <c r="A126" s="161"/>
      <c r="B126" s="166"/>
      <c r="C126" s="152"/>
      <c r="D126" s="152"/>
      <c r="E126" s="152"/>
      <c r="F126" s="89"/>
    </row>
    <row r="127" spans="1:6" ht="12.75">
      <c r="A127" s="156"/>
      <c r="B127" s="151" t="s">
        <v>17</v>
      </c>
      <c r="C127" s="175"/>
      <c r="D127" s="153"/>
      <c r="E127" s="160"/>
      <c r="F127" s="217">
        <f>+F128</f>
        <v>0</v>
      </c>
    </row>
    <row r="128" spans="1:6" ht="12.75">
      <c r="A128" s="161"/>
      <c r="B128" s="162"/>
      <c r="C128" s="163" t="s">
        <v>17</v>
      </c>
      <c r="D128" s="152"/>
      <c r="E128" s="152"/>
      <c r="F128" s="217">
        <f>ConvertedTB!P64</f>
        <v>0</v>
      </c>
    </row>
    <row r="129" spans="1:6" ht="12.75">
      <c r="A129" s="161"/>
      <c r="B129" s="162"/>
      <c r="C129" s="152"/>
      <c r="D129" s="152"/>
      <c r="E129" s="152"/>
      <c r="F129" s="216"/>
    </row>
    <row r="130" spans="1:6" ht="12.75">
      <c r="A130" s="161"/>
      <c r="B130" s="151" t="s">
        <v>347</v>
      </c>
      <c r="C130" s="152"/>
      <c r="D130" s="163"/>
      <c r="E130" s="152"/>
      <c r="F130" s="217">
        <f>+F113+F117+F127</f>
        <v>1087692.85</v>
      </c>
    </row>
    <row r="131" spans="1:6" ht="12.75">
      <c r="A131" s="161"/>
      <c r="B131" s="163"/>
      <c r="C131" s="152"/>
      <c r="D131" s="163"/>
      <c r="E131" s="152"/>
      <c r="F131" s="89"/>
    </row>
    <row r="132" spans="1:6" ht="12.75">
      <c r="A132" s="156"/>
      <c r="B132" s="153" t="s">
        <v>348</v>
      </c>
      <c r="C132" s="160"/>
      <c r="D132" s="151"/>
      <c r="E132" s="160"/>
      <c r="F132" s="217">
        <f>+F130</f>
        <v>1087692.85</v>
      </c>
    </row>
    <row r="133" spans="1:6" ht="12.75">
      <c r="A133" s="161"/>
      <c r="B133" s="162"/>
      <c r="C133" s="174"/>
      <c r="D133" s="163"/>
      <c r="E133" s="152"/>
      <c r="F133" s="89"/>
    </row>
    <row r="134" spans="1:6" ht="13.5" thickBot="1">
      <c r="A134" s="178" t="s">
        <v>349</v>
      </c>
      <c r="B134" s="153"/>
      <c r="C134" s="174"/>
      <c r="D134" s="163"/>
      <c r="E134" s="152"/>
      <c r="F134" s="232">
        <f>+F107-F132</f>
        <v>94571410.91</v>
      </c>
    </row>
    <row r="135" spans="1:6" ht="13.5" thickTop="1">
      <c r="A135" s="161"/>
      <c r="B135" s="162"/>
      <c r="C135" s="174"/>
      <c r="D135" s="163"/>
      <c r="E135" s="152"/>
      <c r="F135" s="152"/>
    </row>
    <row r="136" spans="1:6" ht="12.75">
      <c r="A136" s="154" t="s">
        <v>350</v>
      </c>
      <c r="B136" s="152"/>
      <c r="C136" s="158"/>
      <c r="D136" s="158"/>
      <c r="E136" s="152"/>
      <c r="F136" s="152"/>
    </row>
    <row r="137" spans="1:6" ht="12.75">
      <c r="A137" s="152"/>
      <c r="B137" s="151" t="s">
        <v>90</v>
      </c>
      <c r="C137" s="158"/>
      <c r="D137" s="158"/>
      <c r="E137" s="152"/>
      <c r="F137" s="152"/>
    </row>
    <row r="138" spans="1:6" ht="12.75">
      <c r="A138" s="156"/>
      <c r="B138" s="153"/>
      <c r="C138" s="151" t="s">
        <v>18</v>
      </c>
      <c r="D138" s="151"/>
      <c r="E138" s="160"/>
      <c r="F138" s="217">
        <f>Jan20!D69</f>
        <v>93587952.88</v>
      </c>
    </row>
    <row r="139" spans="1:6" ht="12.75">
      <c r="A139" s="161"/>
      <c r="B139" s="163"/>
      <c r="C139" s="152"/>
      <c r="D139" s="163" t="s">
        <v>351</v>
      </c>
      <c r="E139" s="152"/>
      <c r="F139" s="218">
        <f>'DetSFPerf 1st Qtr'!C139</f>
        <v>-243411.1899999939</v>
      </c>
    </row>
    <row r="140" spans="1:6" ht="12.75">
      <c r="A140" s="156"/>
      <c r="B140" s="153"/>
      <c r="C140" s="151" t="s">
        <v>595</v>
      </c>
      <c r="D140" s="151"/>
      <c r="E140" s="160"/>
      <c r="F140" s="217">
        <f>+F141</f>
        <v>0</v>
      </c>
    </row>
    <row r="141" spans="1:6" ht="12.75">
      <c r="A141" s="161"/>
      <c r="B141" s="163"/>
      <c r="C141" s="152"/>
      <c r="D141" s="163" t="s">
        <v>596</v>
      </c>
      <c r="E141" s="152"/>
      <c r="F141" s="218">
        <v>0</v>
      </c>
    </row>
    <row r="142" spans="1:6" ht="12.75">
      <c r="A142" s="161"/>
      <c r="B142" s="163"/>
      <c r="C142" s="152"/>
      <c r="D142" s="163"/>
      <c r="E142" s="152"/>
      <c r="F142" s="89"/>
    </row>
    <row r="143" spans="1:6" ht="13.5" thickBot="1">
      <c r="A143" s="153" t="s">
        <v>354</v>
      </c>
      <c r="B143" s="152"/>
      <c r="C143" s="174"/>
      <c r="D143" s="163"/>
      <c r="E143" s="152"/>
      <c r="F143" s="232">
        <f>F138+F139+F140</f>
        <v>93344541.69</v>
      </c>
    </row>
    <row r="144" spans="1:6" ht="13.5" thickTop="1">
      <c r="A144" s="161"/>
      <c r="B144" s="153"/>
      <c r="C144" s="174"/>
      <c r="D144" s="163"/>
      <c r="E144" s="152"/>
      <c r="F144" s="274">
        <f>F134-F143</f>
        <v>1226869.2199999988</v>
      </c>
    </row>
    <row r="147" spans="1:5" ht="12.75">
      <c r="A147" s="16" t="s">
        <v>25</v>
      </c>
      <c r="B147" s="77"/>
      <c r="E147" s="1" t="s">
        <v>55</v>
      </c>
    </row>
    <row r="148" spans="1:5" ht="12.75">
      <c r="A148" s="16"/>
      <c r="B148" s="77"/>
      <c r="C148" s="99"/>
      <c r="E148" s="99"/>
    </row>
    <row r="149" spans="1:5" ht="12.75">
      <c r="A149" s="16"/>
      <c r="B149" s="77"/>
      <c r="C149" s="100"/>
      <c r="E149" s="100"/>
    </row>
    <row r="150" spans="1:5" ht="12.75">
      <c r="A150" s="17" t="s">
        <v>658</v>
      </c>
      <c r="B150" s="77"/>
      <c r="C150" s="20"/>
      <c r="E150" s="20" t="s">
        <v>712</v>
      </c>
    </row>
    <row r="151" spans="1:5" ht="12.75">
      <c r="A151" s="16" t="s">
        <v>210</v>
      </c>
      <c r="B151" s="77"/>
      <c r="E151" s="1" t="s">
        <v>224</v>
      </c>
    </row>
  </sheetData>
  <sheetProtection/>
  <mergeCells count="5">
    <mergeCell ref="A111:D111"/>
    <mergeCell ref="A1:F1"/>
    <mergeCell ref="A2:F2"/>
    <mergeCell ref="A3:F3"/>
    <mergeCell ref="A4:F4"/>
  </mergeCells>
  <printOptions/>
  <pageMargins left="0.25" right="0.25" top="0.75" bottom="0.75" header="0.3" footer="0.3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64"/>
  <sheetViews>
    <sheetView zoomScalePageLayoutView="0" workbookViewId="0" topLeftCell="A22">
      <selection activeCell="J44" sqref="J44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4.140625" style="1" customWidth="1"/>
    <col min="4" max="4" width="16.421875" style="1" bestFit="1" customWidth="1"/>
    <col min="5" max="5" width="1.7109375" style="1" customWidth="1"/>
    <col min="6" max="6" width="19.7109375" style="89" customWidth="1"/>
    <col min="7" max="7" width="11.28125" style="1" bestFit="1" customWidth="1"/>
    <col min="8" max="16384" width="9.140625" style="1" customWidth="1"/>
  </cols>
  <sheetData>
    <row r="1" spans="1:6" ht="15">
      <c r="A1" s="555" t="s">
        <v>1</v>
      </c>
      <c r="B1" s="555"/>
      <c r="C1" s="555"/>
      <c r="D1" s="555"/>
      <c r="E1" s="555"/>
      <c r="F1" s="555"/>
    </row>
    <row r="2" spans="1:6" ht="12.75">
      <c r="A2" s="551" t="s">
        <v>545</v>
      </c>
      <c r="B2" s="551"/>
      <c r="C2" s="551"/>
      <c r="D2" s="551"/>
      <c r="E2" s="551"/>
      <c r="F2" s="551"/>
    </row>
    <row r="3" spans="1:6" ht="12.75">
      <c r="A3" s="552" t="s">
        <v>215</v>
      </c>
      <c r="B3" s="552"/>
      <c r="C3" s="552"/>
      <c r="D3" s="552"/>
      <c r="E3" s="552"/>
      <c r="F3" s="552"/>
    </row>
    <row r="4" spans="1:6" ht="12.75">
      <c r="A4" s="552" t="s">
        <v>591</v>
      </c>
      <c r="B4" s="552"/>
      <c r="C4" s="552"/>
      <c r="D4" s="552"/>
      <c r="E4" s="552"/>
      <c r="F4" s="552"/>
    </row>
    <row r="7" spans="1:6" ht="12.75">
      <c r="A7" s="551" t="s">
        <v>9</v>
      </c>
      <c r="B7" s="551"/>
      <c r="C7" s="551"/>
      <c r="D7" s="551"/>
      <c r="E7" s="551"/>
      <c r="F7" s="551"/>
    </row>
    <row r="8" spans="4:7" ht="12.75">
      <c r="D8" s="78"/>
      <c r="E8" s="78"/>
      <c r="G8" s="78"/>
    </row>
    <row r="9" spans="1:7" ht="12.75">
      <c r="A9" s="154" t="s">
        <v>9</v>
      </c>
      <c r="B9" s="152"/>
      <c r="C9" s="151"/>
      <c r="D9" s="160"/>
      <c r="E9" s="160"/>
      <c r="F9" s="218"/>
      <c r="G9" s="78"/>
    </row>
    <row r="10" spans="1:7" ht="12.75">
      <c r="A10" s="152"/>
      <c r="B10" s="151" t="s">
        <v>83</v>
      </c>
      <c r="C10" s="151"/>
      <c r="D10" s="160"/>
      <c r="E10" s="160"/>
      <c r="F10" s="218"/>
      <c r="G10" s="78"/>
    </row>
    <row r="11" spans="1:7" ht="12.75">
      <c r="A11" s="159"/>
      <c r="B11" s="188" t="s">
        <v>296</v>
      </c>
      <c r="C11" s="152"/>
      <c r="D11" s="152"/>
      <c r="E11" s="174"/>
      <c r="F11" s="218">
        <f>'DetSFP 1st Qtr'!F9</f>
        <v>12920725.069999993</v>
      </c>
      <c r="G11" s="78"/>
    </row>
    <row r="12" spans="1:7" ht="12.75" customHeight="1" hidden="1">
      <c r="A12" s="159"/>
      <c r="B12" s="190" t="s">
        <v>302</v>
      </c>
      <c r="C12" s="170"/>
      <c r="D12" s="170"/>
      <c r="E12" s="174"/>
      <c r="F12" s="218" t="s">
        <v>355</v>
      </c>
      <c r="G12" s="78"/>
    </row>
    <row r="13" spans="1:7" ht="12.75">
      <c r="A13" s="185"/>
      <c r="B13" s="189" t="s">
        <v>84</v>
      </c>
      <c r="C13" s="152"/>
      <c r="D13" s="163"/>
      <c r="E13" s="174"/>
      <c r="F13" s="216">
        <f>'DetSFP 1st Qtr'!F22</f>
        <v>37884518.61</v>
      </c>
      <c r="G13" s="78"/>
    </row>
    <row r="14" spans="1:7" ht="12.75">
      <c r="A14" s="156"/>
      <c r="B14" s="188" t="s">
        <v>85</v>
      </c>
      <c r="C14" s="152"/>
      <c r="D14" s="163"/>
      <c r="E14" s="174"/>
      <c r="F14" s="218">
        <f>'DetSFP 1st Qtr'!F28</f>
        <v>46662.22</v>
      </c>
      <c r="G14" s="78"/>
    </row>
    <row r="15" spans="1:7" ht="12.75">
      <c r="A15" s="159"/>
      <c r="B15" s="190" t="s">
        <v>308</v>
      </c>
      <c r="C15" s="170"/>
      <c r="D15" s="170"/>
      <c r="E15" s="174"/>
      <c r="F15" s="218">
        <f>'DetSFP 1st Qtr'!F44</f>
        <v>3060</v>
      </c>
      <c r="G15" s="78"/>
    </row>
    <row r="16" spans="1:7" ht="12.75">
      <c r="A16" s="161"/>
      <c r="B16" s="191" t="s">
        <v>316</v>
      </c>
      <c r="C16" s="162"/>
      <c r="D16" s="152"/>
      <c r="E16" s="152"/>
      <c r="F16" s="219">
        <f>SUM(F11:F15)</f>
        <v>50854965.89999999</v>
      </c>
      <c r="G16" s="78"/>
    </row>
    <row r="17" spans="1:7" ht="12.75">
      <c r="A17" s="161"/>
      <c r="B17" s="166"/>
      <c r="C17" s="162"/>
      <c r="D17" s="152"/>
      <c r="E17" s="152"/>
      <c r="G17" s="78"/>
    </row>
    <row r="18" spans="1:7" ht="14.25" customHeight="1">
      <c r="A18" s="162"/>
      <c r="B18" s="151" t="s">
        <v>317</v>
      </c>
      <c r="C18" s="162"/>
      <c r="D18" s="152"/>
      <c r="E18" s="152"/>
      <c r="G18" s="78"/>
    </row>
    <row r="19" spans="1:7" ht="12.75">
      <c r="A19" s="159"/>
      <c r="B19" s="190" t="s">
        <v>302</v>
      </c>
      <c r="C19" s="170"/>
      <c r="D19" s="170"/>
      <c r="E19" s="174"/>
      <c r="F19" s="218">
        <v>0</v>
      </c>
      <c r="G19" s="78"/>
    </row>
    <row r="20" spans="1:7" ht="12.75">
      <c r="A20" s="156"/>
      <c r="B20" s="192" t="s">
        <v>318</v>
      </c>
      <c r="C20" s="152"/>
      <c r="D20" s="163"/>
      <c r="E20" s="174"/>
      <c r="F20" s="218">
        <v>0</v>
      </c>
      <c r="G20" s="78"/>
    </row>
    <row r="21" spans="1:7" ht="12.75">
      <c r="A21" s="156"/>
      <c r="B21" s="192" t="s">
        <v>86</v>
      </c>
      <c r="C21" s="152"/>
      <c r="D21" s="152"/>
      <c r="E21" s="174"/>
      <c r="F21" s="218">
        <f>'DetSFP 1st Qtr'!F56</f>
        <v>44804137.86</v>
      </c>
      <c r="G21" s="78"/>
    </row>
    <row r="22" spans="1:7" ht="12.75">
      <c r="A22" s="156"/>
      <c r="B22" s="192" t="s">
        <v>333</v>
      </c>
      <c r="C22" s="186"/>
      <c r="D22" s="186"/>
      <c r="E22" s="174"/>
      <c r="F22" s="218">
        <v>0</v>
      </c>
      <c r="G22" s="78"/>
    </row>
    <row r="23" spans="1:7" ht="12.75">
      <c r="A23" s="156"/>
      <c r="B23" s="192" t="s">
        <v>334</v>
      </c>
      <c r="C23" s="186"/>
      <c r="D23" s="186"/>
      <c r="E23" s="174"/>
      <c r="F23" s="218">
        <v>0</v>
      </c>
      <c r="G23" s="78"/>
    </row>
    <row r="24" spans="1:7" ht="12.75">
      <c r="A24" s="156"/>
      <c r="B24" s="192" t="s">
        <v>335</v>
      </c>
      <c r="C24" s="152"/>
      <c r="D24" s="163"/>
      <c r="E24" s="174"/>
      <c r="F24" s="218">
        <v>0</v>
      </c>
      <c r="G24" s="78"/>
    </row>
    <row r="25" spans="1:7" ht="12.75">
      <c r="A25" s="157"/>
      <c r="B25" s="191" t="s">
        <v>337</v>
      </c>
      <c r="C25" s="180"/>
      <c r="D25" s="180"/>
      <c r="E25" s="166"/>
      <c r="F25" s="219">
        <f>SUM(F19:F24)</f>
        <v>44804137.86</v>
      </c>
      <c r="G25" s="78"/>
    </row>
    <row r="26" spans="1:7" ht="12.75">
      <c r="A26" s="157"/>
      <c r="B26" s="152"/>
      <c r="C26" s="180"/>
      <c r="D26" s="180"/>
      <c r="E26" s="166"/>
      <c r="F26" s="216"/>
      <c r="G26" s="78"/>
    </row>
    <row r="27" spans="1:7" ht="12.75">
      <c r="A27" s="157"/>
      <c r="B27" s="193" t="s">
        <v>356</v>
      </c>
      <c r="C27" s="175"/>
      <c r="D27" s="175"/>
      <c r="E27" s="187"/>
      <c r="F27" s="221">
        <f>+F16+F25</f>
        <v>95659103.75999999</v>
      </c>
      <c r="G27" s="78"/>
    </row>
    <row r="28" spans="1:7" ht="12.75">
      <c r="A28" s="157"/>
      <c r="B28" s="160"/>
      <c r="C28" s="180"/>
      <c r="D28" s="180"/>
      <c r="E28" s="166"/>
      <c r="G28" s="78"/>
    </row>
    <row r="29" spans="1:7" ht="12.75">
      <c r="A29" s="554" t="s">
        <v>16</v>
      </c>
      <c r="B29" s="554"/>
      <c r="C29" s="554"/>
      <c r="D29" s="554"/>
      <c r="E29" s="160"/>
      <c r="G29" s="78"/>
    </row>
    <row r="30" spans="1:7" ht="12.75">
      <c r="A30" s="151"/>
      <c r="B30" s="151" t="s">
        <v>89</v>
      </c>
      <c r="C30" s="151"/>
      <c r="D30" s="151"/>
      <c r="E30" s="160"/>
      <c r="G30" s="78"/>
    </row>
    <row r="31" spans="1:7" ht="12.75">
      <c r="A31" s="161"/>
      <c r="B31" s="192" t="s">
        <v>339</v>
      </c>
      <c r="C31" s="152"/>
      <c r="D31" s="163"/>
      <c r="E31" s="174"/>
      <c r="F31" s="218">
        <f>'DetSFP 1st Qtr'!F113</f>
        <v>35250</v>
      </c>
      <c r="G31" s="78"/>
    </row>
    <row r="32" spans="1:7" ht="12.75">
      <c r="A32" s="161"/>
      <c r="B32" s="192" t="s">
        <v>341</v>
      </c>
      <c r="C32" s="152"/>
      <c r="D32" s="163"/>
      <c r="E32" s="174"/>
      <c r="F32" s="218">
        <f>'DetSFP 1st Qtr'!F117</f>
        <v>1052442.85</v>
      </c>
      <c r="G32" s="78"/>
    </row>
    <row r="33" spans="1:8" ht="12.75">
      <c r="A33" s="161"/>
      <c r="B33" s="192" t="s">
        <v>344</v>
      </c>
      <c r="C33" s="152"/>
      <c r="D33" s="163"/>
      <c r="E33" s="174"/>
      <c r="F33" s="218">
        <v>0</v>
      </c>
      <c r="G33" s="3"/>
      <c r="H33" s="3"/>
    </row>
    <row r="34" spans="1:8" ht="12.75">
      <c r="A34" s="161"/>
      <c r="B34" s="192" t="s">
        <v>345</v>
      </c>
      <c r="C34" s="152"/>
      <c r="D34" s="163"/>
      <c r="E34" s="174"/>
      <c r="F34" s="218">
        <v>0</v>
      </c>
      <c r="G34" s="3"/>
      <c r="H34" s="3"/>
    </row>
    <row r="35" spans="1:8" ht="12.75">
      <c r="A35" s="161"/>
      <c r="B35" s="192" t="s">
        <v>346</v>
      </c>
      <c r="C35" s="152"/>
      <c r="D35" s="163"/>
      <c r="E35" s="174"/>
      <c r="F35" s="218">
        <v>0</v>
      </c>
      <c r="G35" s="3"/>
      <c r="H35" s="3"/>
    </row>
    <row r="36" spans="1:8" ht="12.75">
      <c r="A36" s="161"/>
      <c r="B36" s="192" t="s">
        <v>17</v>
      </c>
      <c r="C36" s="152"/>
      <c r="D36" s="163"/>
      <c r="E36" s="174"/>
      <c r="F36" s="217">
        <v>0</v>
      </c>
      <c r="G36" s="3"/>
      <c r="H36" s="3"/>
    </row>
    <row r="37" spans="1:8" ht="12.75">
      <c r="A37" s="161"/>
      <c r="B37" s="192"/>
      <c r="C37" s="152"/>
      <c r="D37" s="163"/>
      <c r="E37" s="152"/>
      <c r="G37" s="3"/>
      <c r="H37" s="3"/>
    </row>
    <row r="38" spans="1:7" ht="12.75">
      <c r="A38" s="161"/>
      <c r="B38" s="191" t="s">
        <v>347</v>
      </c>
      <c r="C38" s="152"/>
      <c r="D38" s="163"/>
      <c r="E38" s="152"/>
      <c r="F38" s="234">
        <f>SUM(F31:F37)</f>
        <v>1087692.85</v>
      </c>
      <c r="G38" s="78"/>
    </row>
    <row r="39" spans="1:7" ht="12.75">
      <c r="A39" s="161"/>
      <c r="B39" s="152"/>
      <c r="C39" s="152"/>
      <c r="D39" s="163"/>
      <c r="E39" s="152"/>
      <c r="F39" s="216"/>
      <c r="G39" s="78"/>
    </row>
    <row r="40" spans="1:7" ht="12.75">
      <c r="A40" s="161"/>
      <c r="B40" s="153" t="s">
        <v>348</v>
      </c>
      <c r="C40" s="174"/>
      <c r="D40" s="163"/>
      <c r="E40" s="152"/>
      <c r="F40" s="221">
        <f>+F38</f>
        <v>1087692.85</v>
      </c>
      <c r="G40" s="78"/>
    </row>
    <row r="41" spans="1:7" ht="12.75">
      <c r="A41" s="161"/>
      <c r="B41" s="153"/>
      <c r="C41" s="174"/>
      <c r="D41" s="163"/>
      <c r="E41" s="152"/>
      <c r="F41" s="235"/>
      <c r="G41" s="78"/>
    </row>
    <row r="42" spans="1:7" ht="13.5" thickBot="1">
      <c r="A42" s="178" t="s">
        <v>349</v>
      </c>
      <c r="B42" s="153"/>
      <c r="C42" s="174"/>
      <c r="D42" s="163"/>
      <c r="E42" s="152"/>
      <c r="F42" s="235">
        <f>+F27-F40</f>
        <v>94571410.91</v>
      </c>
      <c r="G42" s="78"/>
    </row>
    <row r="43" spans="1:7" ht="13.5" thickTop="1">
      <c r="A43" s="161"/>
      <c r="B43" s="162"/>
      <c r="C43" s="174"/>
      <c r="D43" s="163"/>
      <c r="E43" s="152"/>
      <c r="F43" s="233"/>
      <c r="G43" s="78"/>
    </row>
    <row r="44" spans="1:7" ht="12.75">
      <c r="A44" s="151" t="s">
        <v>357</v>
      </c>
      <c r="B44" s="162"/>
      <c r="C44" s="158"/>
      <c r="D44" s="158"/>
      <c r="E44" s="160"/>
      <c r="F44" s="89">
        <f>'DetSFP 1st Qtr'!F143</f>
        <v>93344541.69</v>
      </c>
      <c r="G44" s="78"/>
    </row>
    <row r="45" spans="1:7" ht="12.75">
      <c r="A45" s="161"/>
      <c r="B45" s="192"/>
      <c r="C45" s="152"/>
      <c r="D45" s="163"/>
      <c r="E45" s="152"/>
      <c r="F45" s="218">
        <v>0</v>
      </c>
      <c r="G45" s="78"/>
    </row>
    <row r="46" spans="1:7" ht="13.5" thickBot="1">
      <c r="A46" s="161"/>
      <c r="B46" s="191" t="s">
        <v>354</v>
      </c>
      <c r="C46" s="174"/>
      <c r="D46" s="163"/>
      <c r="E46" s="152"/>
      <c r="F46" s="236">
        <f>F44</f>
        <v>93344541.69</v>
      </c>
      <c r="G46" s="78"/>
    </row>
    <row r="47" spans="4:7" ht="13.5" thickTop="1">
      <c r="D47" s="78"/>
      <c r="E47" s="78"/>
      <c r="F47" s="89">
        <f>F42-F46</f>
        <v>1226869.2199999988</v>
      </c>
      <c r="G47" s="78"/>
    </row>
    <row r="48" spans="4:7" ht="12.75">
      <c r="D48" s="78"/>
      <c r="E48" s="78"/>
      <c r="G48" s="78"/>
    </row>
    <row r="49" spans="4:7" ht="12.75">
      <c r="D49" s="78"/>
      <c r="E49" s="78"/>
      <c r="G49" s="78"/>
    </row>
    <row r="50" spans="1:7" ht="12.75">
      <c r="A50" s="16" t="s">
        <v>25</v>
      </c>
      <c r="B50" s="77"/>
      <c r="E50" s="1" t="s">
        <v>55</v>
      </c>
      <c r="G50" s="78"/>
    </row>
    <row r="51" spans="1:7" ht="12.75">
      <c r="A51" s="16"/>
      <c r="B51" s="77"/>
      <c r="C51" s="99"/>
      <c r="E51" s="99"/>
      <c r="G51" s="78"/>
    </row>
    <row r="52" spans="1:7" ht="12.75">
      <c r="A52" s="16"/>
      <c r="B52" s="77"/>
      <c r="C52" s="100"/>
      <c r="E52" s="100"/>
      <c r="G52" s="78"/>
    </row>
    <row r="53" spans="1:7" ht="12.75">
      <c r="A53" s="17" t="s">
        <v>658</v>
      </c>
      <c r="B53" s="77"/>
      <c r="C53" s="20"/>
      <c r="E53" s="20" t="s">
        <v>712</v>
      </c>
      <c r="G53" s="78"/>
    </row>
    <row r="54" spans="1:7" ht="12.75">
      <c r="A54" s="16" t="s">
        <v>210</v>
      </c>
      <c r="B54" s="77"/>
      <c r="E54" s="1" t="s">
        <v>224</v>
      </c>
      <c r="G54" s="78"/>
    </row>
    <row r="55" spans="4:7" ht="12.75">
      <c r="D55" s="78"/>
      <c r="E55" s="78"/>
      <c r="G55" s="78"/>
    </row>
    <row r="56" spans="4:7" ht="12.75">
      <c r="D56" s="78"/>
      <c r="E56" s="78"/>
      <c r="G56" s="78"/>
    </row>
    <row r="57" spans="4:7" ht="12.75">
      <c r="D57" s="78"/>
      <c r="E57" s="78"/>
      <c r="G57" s="78"/>
    </row>
    <row r="58" spans="4:7" ht="12.75">
      <c r="D58" s="78"/>
      <c r="E58" s="78"/>
      <c r="G58" s="78"/>
    </row>
    <row r="59" spans="4:7" ht="12.75">
      <c r="D59" s="78"/>
      <c r="E59" s="78"/>
      <c r="G59" s="78"/>
    </row>
    <row r="60" spans="4:7" ht="12.75">
      <c r="D60" s="78"/>
      <c r="E60" s="78"/>
      <c r="G60" s="78"/>
    </row>
    <row r="61" spans="4:7" ht="12.75">
      <c r="D61" s="78"/>
      <c r="E61" s="78"/>
      <c r="G61" s="78"/>
    </row>
    <row r="62" spans="4:7" ht="12.75">
      <c r="D62" s="78"/>
      <c r="E62" s="78"/>
      <c r="G62" s="78"/>
    </row>
    <row r="63" spans="4:7" ht="12.75">
      <c r="D63" s="78"/>
      <c r="E63" s="78"/>
      <c r="G63" s="78"/>
    </row>
    <row r="64" spans="4:7" ht="12.75">
      <c r="D64" s="78"/>
      <c r="E64" s="78"/>
      <c r="G64" s="78"/>
    </row>
    <row r="65" spans="4:7" ht="12.75">
      <c r="D65" s="78"/>
      <c r="E65" s="78"/>
      <c r="G65" s="78"/>
    </row>
    <row r="66" spans="4:7" ht="12.75">
      <c r="D66" s="78"/>
      <c r="E66" s="78"/>
      <c r="G66" s="78"/>
    </row>
    <row r="67" spans="4:7" ht="12.75">
      <c r="D67" s="78"/>
      <c r="E67" s="78"/>
      <c r="G67" s="78"/>
    </row>
    <row r="68" spans="4:7" ht="12.75">
      <c r="D68" s="78"/>
      <c r="E68" s="78"/>
      <c r="G68" s="78"/>
    </row>
    <row r="69" spans="4:7" ht="12.75">
      <c r="D69" s="78"/>
      <c r="E69" s="78"/>
      <c r="G69" s="78"/>
    </row>
    <row r="70" spans="4:7" ht="12.75">
      <c r="D70" s="78"/>
      <c r="E70" s="78"/>
      <c r="G70" s="78"/>
    </row>
    <row r="71" spans="4:7" ht="12.75">
      <c r="D71" s="78"/>
      <c r="E71" s="78"/>
      <c r="G71" s="78"/>
    </row>
    <row r="72" spans="4:7" ht="12.75">
      <c r="D72" s="78"/>
      <c r="E72" s="78"/>
      <c r="G72" s="78"/>
    </row>
    <row r="73" spans="4:7" ht="12.75">
      <c r="D73" s="78"/>
      <c r="E73" s="78"/>
      <c r="G73" s="78"/>
    </row>
    <row r="74" spans="4:7" ht="12.75">
      <c r="D74" s="78"/>
      <c r="E74" s="78"/>
      <c r="G74" s="78"/>
    </row>
    <row r="75" spans="4:7" ht="12.75">
      <c r="D75" s="78"/>
      <c r="E75" s="78"/>
      <c r="G75" s="78"/>
    </row>
    <row r="76" spans="4:7" ht="12.75">
      <c r="D76" s="78"/>
      <c r="E76" s="78"/>
      <c r="G76" s="78"/>
    </row>
    <row r="77" spans="4:7" ht="12.75">
      <c r="D77" s="78"/>
      <c r="E77" s="78"/>
      <c r="G77" s="78"/>
    </row>
    <row r="78" spans="4:7" ht="12.75">
      <c r="D78" s="78"/>
      <c r="E78" s="78"/>
      <c r="G78" s="78"/>
    </row>
    <row r="79" spans="4:7" ht="12.75">
      <c r="D79" s="78"/>
      <c r="E79" s="78"/>
      <c r="G79" s="78"/>
    </row>
    <row r="80" spans="4:7" ht="12.75">
      <c r="D80" s="78"/>
      <c r="E80" s="78"/>
      <c r="G80" s="78"/>
    </row>
    <row r="81" spans="4:7" ht="12.75">
      <c r="D81" s="78"/>
      <c r="E81" s="78"/>
      <c r="G81" s="78"/>
    </row>
    <row r="82" spans="4:7" ht="12.75">
      <c r="D82" s="78"/>
      <c r="E82" s="78"/>
      <c r="G82" s="78"/>
    </row>
    <row r="83" spans="4:7" ht="12.75">
      <c r="D83" s="78"/>
      <c r="E83" s="78"/>
      <c r="G83" s="78"/>
    </row>
    <row r="84" spans="4:7" ht="12.75">
      <c r="D84" s="78"/>
      <c r="E84" s="78"/>
      <c r="G84" s="78"/>
    </row>
    <row r="85" spans="4:7" ht="12.75">
      <c r="D85" s="78"/>
      <c r="E85" s="78"/>
      <c r="G85" s="78"/>
    </row>
    <row r="86" spans="4:7" ht="12.75">
      <c r="D86" s="78"/>
      <c r="E86" s="78"/>
      <c r="G86" s="78"/>
    </row>
    <row r="87" spans="4:7" ht="12.75">
      <c r="D87" s="78"/>
      <c r="E87" s="78"/>
      <c r="G87" s="78"/>
    </row>
    <row r="88" spans="4:7" ht="12.75">
      <c r="D88" s="78"/>
      <c r="E88" s="78"/>
      <c r="G88" s="78"/>
    </row>
    <row r="89" spans="4:7" ht="12.75">
      <c r="D89" s="78"/>
      <c r="E89" s="78"/>
      <c r="G89" s="78"/>
    </row>
    <row r="90" spans="4:7" ht="12.75">
      <c r="D90" s="78"/>
      <c r="E90" s="78"/>
      <c r="G90" s="78"/>
    </row>
    <row r="91" spans="4:7" ht="12.75">
      <c r="D91" s="78"/>
      <c r="E91" s="78"/>
      <c r="G91" s="78"/>
    </row>
    <row r="92" spans="4:7" ht="12.75">
      <c r="D92" s="78"/>
      <c r="E92" s="78"/>
      <c r="G92" s="78"/>
    </row>
    <row r="93" spans="4:7" ht="12.75">
      <c r="D93" s="78"/>
      <c r="E93" s="78"/>
      <c r="G93" s="78"/>
    </row>
    <row r="94" spans="4:7" ht="12.75">
      <c r="D94" s="78"/>
      <c r="E94" s="78"/>
      <c r="G94" s="78"/>
    </row>
    <row r="95" spans="4:7" ht="12.75">
      <c r="D95" s="78"/>
      <c r="E95" s="78"/>
      <c r="G95" s="78"/>
    </row>
    <row r="96" spans="4:7" ht="12.75">
      <c r="D96" s="78"/>
      <c r="E96" s="78"/>
      <c r="G96" s="78"/>
    </row>
    <row r="97" spans="4:7" ht="12.75">
      <c r="D97" s="78"/>
      <c r="E97" s="78"/>
      <c r="G97" s="78"/>
    </row>
    <row r="98" spans="4:7" ht="12.75">
      <c r="D98" s="78"/>
      <c r="E98" s="78"/>
      <c r="G98" s="78"/>
    </row>
    <row r="99" spans="4:7" ht="12.75">
      <c r="D99" s="78"/>
      <c r="E99" s="78"/>
      <c r="G99" s="78"/>
    </row>
    <row r="100" spans="4:7" ht="12.75">
      <c r="D100" s="78"/>
      <c r="E100" s="78"/>
      <c r="G100" s="78"/>
    </row>
    <row r="101" spans="4:7" ht="12.75">
      <c r="D101" s="78"/>
      <c r="E101" s="78"/>
      <c r="G101" s="78"/>
    </row>
    <row r="102" spans="4:7" ht="12.75">
      <c r="D102" s="78"/>
      <c r="E102" s="78"/>
      <c r="G102" s="78"/>
    </row>
    <row r="103" spans="4:7" ht="12.75">
      <c r="D103" s="78"/>
      <c r="E103" s="78"/>
      <c r="G103" s="78"/>
    </row>
    <row r="104" spans="4:7" ht="12.75">
      <c r="D104" s="78"/>
      <c r="E104" s="78"/>
      <c r="G104" s="78"/>
    </row>
    <row r="105" spans="4:7" ht="12.75">
      <c r="D105" s="78"/>
      <c r="E105" s="78"/>
      <c r="G105" s="78"/>
    </row>
    <row r="106" spans="4:7" ht="12.75">
      <c r="D106" s="78"/>
      <c r="E106" s="78"/>
      <c r="G106" s="78"/>
    </row>
    <row r="107" spans="4:7" ht="12.75">
      <c r="D107" s="78"/>
      <c r="E107" s="78"/>
      <c r="G107" s="78"/>
    </row>
    <row r="108" spans="4:7" ht="12.75">
      <c r="D108" s="78"/>
      <c r="E108" s="78"/>
      <c r="G108" s="78"/>
    </row>
    <row r="109" spans="4:7" ht="12.75">
      <c r="D109" s="78"/>
      <c r="E109" s="78"/>
      <c r="G109" s="78"/>
    </row>
    <row r="110" spans="4:7" ht="12.75">
      <c r="D110" s="78"/>
      <c r="E110" s="78"/>
      <c r="G110" s="78"/>
    </row>
    <row r="111" spans="4:7" ht="12.75">
      <c r="D111" s="78"/>
      <c r="E111" s="78"/>
      <c r="G111" s="78"/>
    </row>
    <row r="112" spans="4:7" ht="12.75">
      <c r="D112" s="78"/>
      <c r="E112" s="78"/>
      <c r="G112" s="78"/>
    </row>
    <row r="113" spans="4:7" ht="12.75">
      <c r="D113" s="78"/>
      <c r="E113" s="78"/>
      <c r="G113" s="78"/>
    </row>
    <row r="114" spans="4:7" ht="12.75">
      <c r="D114" s="78"/>
      <c r="E114" s="78"/>
      <c r="G114" s="78"/>
    </row>
    <row r="115" spans="4:7" ht="12.75">
      <c r="D115" s="78"/>
      <c r="E115" s="78"/>
      <c r="G115" s="78"/>
    </row>
    <row r="116" spans="4:7" ht="12.75">
      <c r="D116" s="78"/>
      <c r="E116" s="78"/>
      <c r="G116" s="78"/>
    </row>
    <row r="117" spans="4:7" ht="12.75">
      <c r="D117" s="78"/>
      <c r="E117" s="78"/>
      <c r="G117" s="78"/>
    </row>
    <row r="118" spans="4:7" ht="12.75">
      <c r="D118" s="78"/>
      <c r="E118" s="78"/>
      <c r="G118" s="78"/>
    </row>
    <row r="119" spans="4:7" ht="12.75">
      <c r="D119" s="78"/>
      <c r="E119" s="78"/>
      <c r="G119" s="78"/>
    </row>
    <row r="120" spans="4:7" ht="12.75">
      <c r="D120" s="78"/>
      <c r="E120" s="78"/>
      <c r="G120" s="78"/>
    </row>
    <row r="121" spans="4:7" ht="12.75">
      <c r="D121" s="78"/>
      <c r="E121" s="78"/>
      <c r="G121" s="78"/>
    </row>
    <row r="122" spans="4:7" ht="12.75">
      <c r="D122" s="78"/>
      <c r="E122" s="78"/>
      <c r="G122" s="78"/>
    </row>
    <row r="123" spans="4:7" ht="12.75">
      <c r="D123" s="78"/>
      <c r="E123" s="78"/>
      <c r="G123" s="78"/>
    </row>
    <row r="124" spans="4:7" ht="12.75">
      <c r="D124" s="78"/>
      <c r="E124" s="78"/>
      <c r="G124" s="78"/>
    </row>
    <row r="125" spans="4:7" ht="12.75">
      <c r="D125" s="78"/>
      <c r="E125" s="78"/>
      <c r="G125" s="78"/>
    </row>
    <row r="126" spans="4:7" ht="12.75">
      <c r="D126" s="78"/>
      <c r="E126" s="78"/>
      <c r="G126" s="78"/>
    </row>
    <row r="127" spans="4:7" ht="12.75">
      <c r="D127" s="78"/>
      <c r="E127" s="78"/>
      <c r="G127" s="78"/>
    </row>
    <row r="128" spans="4:7" ht="12.75">
      <c r="D128" s="78"/>
      <c r="E128" s="78"/>
      <c r="G128" s="78"/>
    </row>
    <row r="129" spans="4:7" ht="12.75">
      <c r="D129" s="78"/>
      <c r="E129" s="78"/>
      <c r="G129" s="78"/>
    </row>
    <row r="130" spans="4:7" ht="12.75">
      <c r="D130" s="78"/>
      <c r="E130" s="78"/>
      <c r="G130" s="78"/>
    </row>
    <row r="131" spans="4:7" ht="12.75">
      <c r="D131" s="78"/>
      <c r="E131" s="78"/>
      <c r="G131" s="78"/>
    </row>
    <row r="132" spans="4:7" ht="12.75">
      <c r="D132" s="78"/>
      <c r="E132" s="78"/>
      <c r="G132" s="78"/>
    </row>
    <row r="133" spans="4:7" ht="12.75">
      <c r="D133" s="78"/>
      <c r="E133" s="78"/>
      <c r="G133" s="78"/>
    </row>
    <row r="134" spans="4:7" ht="12.75">
      <c r="D134" s="78"/>
      <c r="E134" s="78"/>
      <c r="G134" s="78"/>
    </row>
    <row r="135" spans="4:7" ht="12.75">
      <c r="D135" s="78"/>
      <c r="E135" s="78"/>
      <c r="G135" s="78"/>
    </row>
    <row r="136" spans="4:7" ht="12.75">
      <c r="D136" s="78"/>
      <c r="E136" s="78"/>
      <c r="G136" s="78"/>
    </row>
    <row r="137" spans="4:7" ht="12.75">
      <c r="D137" s="78"/>
      <c r="E137" s="78"/>
      <c r="G137" s="78"/>
    </row>
    <row r="138" spans="4:7" ht="12.75">
      <c r="D138" s="78"/>
      <c r="E138" s="78"/>
      <c r="G138" s="78"/>
    </row>
    <row r="139" spans="4:7" ht="12.75">
      <c r="D139" s="78"/>
      <c r="E139" s="78"/>
      <c r="G139" s="78"/>
    </row>
    <row r="140" spans="4:7" ht="12.75">
      <c r="D140" s="78"/>
      <c r="E140" s="78"/>
      <c r="G140" s="78"/>
    </row>
    <row r="141" spans="4:7" ht="12.75">
      <c r="D141" s="78"/>
      <c r="E141" s="78"/>
      <c r="G141" s="78"/>
    </row>
    <row r="142" spans="4:7" ht="12.75">
      <c r="D142" s="78"/>
      <c r="E142" s="78"/>
      <c r="G142" s="78"/>
    </row>
    <row r="143" spans="4:7" ht="12.75">
      <c r="D143" s="78"/>
      <c r="E143" s="78"/>
      <c r="G143" s="78"/>
    </row>
    <row r="144" spans="4:7" ht="12.75">
      <c r="D144" s="78"/>
      <c r="E144" s="78"/>
      <c r="G144" s="78"/>
    </row>
    <row r="145" spans="4:7" ht="12.75">
      <c r="D145" s="78"/>
      <c r="E145" s="78"/>
      <c r="G145" s="78"/>
    </row>
    <row r="146" spans="4:7" ht="12.75">
      <c r="D146" s="78"/>
      <c r="E146" s="78"/>
      <c r="G146" s="78"/>
    </row>
    <row r="147" spans="4:7" ht="12.75">
      <c r="D147" s="78"/>
      <c r="E147" s="78"/>
      <c r="G147" s="78"/>
    </row>
    <row r="148" spans="4:7" ht="12.75">
      <c r="D148" s="78"/>
      <c r="E148" s="78"/>
      <c r="G148" s="78"/>
    </row>
    <row r="149" spans="4:7" ht="12.75">
      <c r="D149" s="78"/>
      <c r="E149" s="78"/>
      <c r="G149" s="78"/>
    </row>
    <row r="150" spans="4:7" ht="12.75">
      <c r="D150" s="78"/>
      <c r="E150" s="78"/>
      <c r="G150" s="78"/>
    </row>
    <row r="151" spans="4:7" ht="12.75">
      <c r="D151" s="78"/>
      <c r="E151" s="78"/>
      <c r="G151" s="78"/>
    </row>
    <row r="152" spans="4:7" ht="12.75">
      <c r="D152" s="78"/>
      <c r="E152" s="78"/>
      <c r="G152" s="78"/>
    </row>
    <row r="153" spans="4:7" ht="12.75">
      <c r="D153" s="78"/>
      <c r="E153" s="78"/>
      <c r="G153" s="78"/>
    </row>
    <row r="154" spans="4:7" ht="12.75">
      <c r="D154" s="78"/>
      <c r="E154" s="78"/>
      <c r="G154" s="78"/>
    </row>
    <row r="155" spans="4:7" ht="12.75">
      <c r="D155" s="78"/>
      <c r="E155" s="78"/>
      <c r="G155" s="78"/>
    </row>
    <row r="156" spans="4:7" ht="12.75">
      <c r="D156" s="78"/>
      <c r="E156" s="78"/>
      <c r="G156" s="78"/>
    </row>
    <row r="157" spans="4:7" ht="12.75">
      <c r="D157" s="78"/>
      <c r="E157" s="78"/>
      <c r="G157" s="78"/>
    </row>
    <row r="158" spans="4:7" ht="12.75">
      <c r="D158" s="78"/>
      <c r="E158" s="78"/>
      <c r="G158" s="78"/>
    </row>
    <row r="159" spans="4:7" ht="12.75">
      <c r="D159" s="78"/>
      <c r="E159" s="78"/>
      <c r="G159" s="78"/>
    </row>
    <row r="160" spans="4:7" ht="12.75">
      <c r="D160" s="78"/>
      <c r="E160" s="78"/>
      <c r="G160" s="78"/>
    </row>
    <row r="161" spans="4:7" ht="12.75">
      <c r="D161" s="78"/>
      <c r="E161" s="78"/>
      <c r="G161" s="78"/>
    </row>
    <row r="162" spans="4:7" ht="12.75">
      <c r="D162" s="78"/>
      <c r="E162" s="78"/>
      <c r="G162" s="78"/>
    </row>
    <row r="163" spans="4:7" ht="12.75">
      <c r="D163" s="78"/>
      <c r="E163" s="78"/>
      <c r="G163" s="78"/>
    </row>
    <row r="164" spans="4:7" ht="12.75">
      <c r="D164" s="78"/>
      <c r="E164" s="78"/>
      <c r="G164" s="78"/>
    </row>
  </sheetData>
  <sheetProtection/>
  <mergeCells count="6">
    <mergeCell ref="A29:D29"/>
    <mergeCell ref="A1:F1"/>
    <mergeCell ref="A2:F2"/>
    <mergeCell ref="A3:F3"/>
    <mergeCell ref="A4:F4"/>
    <mergeCell ref="A7:F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master</cp:lastModifiedBy>
  <cp:lastPrinted>2021-03-01T02:10:20Z</cp:lastPrinted>
  <dcterms:created xsi:type="dcterms:W3CDTF">2004-05-14T05:49:59Z</dcterms:created>
  <dcterms:modified xsi:type="dcterms:W3CDTF">2021-04-22T06:44:01Z</dcterms:modified>
  <cp:category/>
  <cp:version/>
  <cp:contentType/>
  <cp:contentStatus/>
  <cp:revision>1</cp:revision>
</cp:coreProperties>
</file>